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EEFF sepiembre 2020 version ok\Trimestrales\"/>
    </mc:Choice>
  </mc:AlternateContent>
  <xr:revisionPtr revIDLastSave="0" documentId="13_ncr:1_{F3B9DEF8-1913-4A56-B821-55108E4B6042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31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9" l="1"/>
  <c r="G30" i="9"/>
  <c r="G29" i="9"/>
  <c r="G28" i="9"/>
  <c r="F28" i="9"/>
  <c r="E28" i="9"/>
  <c r="D28" i="9"/>
  <c r="C28" i="9"/>
  <c r="B28" i="9"/>
  <c r="G27" i="9"/>
  <c r="G26" i="9"/>
  <c r="G25" i="9"/>
  <c r="G24" i="9" s="1"/>
  <c r="F24" i="9"/>
  <c r="E24" i="9"/>
  <c r="D24" i="9"/>
  <c r="C24" i="9"/>
  <c r="B24" i="9"/>
  <c r="G23" i="9"/>
  <c r="G22" i="9"/>
  <c r="G35" i="12" l="1"/>
  <c r="B36" i="12"/>
  <c r="C36" i="12"/>
  <c r="D36" i="12"/>
  <c r="E36" i="12"/>
  <c r="F36" i="12"/>
  <c r="G36" i="12"/>
  <c r="G34" i="12"/>
  <c r="G29" i="12"/>
  <c r="G23" i="12" l="1"/>
  <c r="G24" i="12"/>
  <c r="G9" i="12"/>
  <c r="G14" i="12"/>
  <c r="G61" i="5"/>
  <c r="G60" i="5"/>
  <c r="G58" i="5"/>
  <c r="G57" i="5"/>
  <c r="G56" i="5"/>
  <c r="G55" i="5"/>
  <c r="G53" i="5"/>
  <c r="G52" i="5"/>
  <c r="G51" i="5"/>
  <c r="G49" i="5"/>
  <c r="G48" i="5"/>
  <c r="G47" i="5"/>
  <c r="G46" i="5"/>
  <c r="E38" i="1" l="1"/>
  <c r="F38" i="1"/>
  <c r="E31" i="1"/>
  <c r="F31" i="1"/>
  <c r="C47" i="1"/>
  <c r="C137" i="6" l="1"/>
  <c r="D137" i="6"/>
  <c r="E137" i="6"/>
  <c r="S129" i="24" s="1"/>
  <c r="F137" i="6"/>
  <c r="T129" i="24" s="1"/>
  <c r="B137" i="6"/>
  <c r="C62" i="6"/>
  <c r="D62" i="6"/>
  <c r="E62" i="6"/>
  <c r="F62" i="6"/>
  <c r="B62" i="6"/>
  <c r="B8" i="10"/>
  <c r="C6" i="23"/>
  <c r="C7" i="23" s="1"/>
  <c r="A2" i="9" s="1"/>
  <c r="B9" i="1"/>
  <c r="B47" i="1" s="1"/>
  <c r="H25" i="23"/>
  <c r="G25" i="23"/>
  <c r="E5" i="13" s="1"/>
  <c r="F25" i="23"/>
  <c r="D5" i="13" s="1"/>
  <c r="E25" i="23"/>
  <c r="D25" i="23"/>
  <c r="U20" i="27"/>
  <c r="U15" i="27"/>
  <c r="U10" i="27"/>
  <c r="U3" i="27"/>
  <c r="G73" i="8"/>
  <c r="U65" i="26" s="1"/>
  <c r="G74" i="8"/>
  <c r="U66" i="26" s="1"/>
  <c r="G75" i="8"/>
  <c r="G72" i="8"/>
  <c r="U64" i="26" s="1"/>
  <c r="G63" i="8"/>
  <c r="G64" i="8"/>
  <c r="U56" i="26" s="1"/>
  <c r="G65" i="8"/>
  <c r="G66" i="8"/>
  <c r="G67" i="8"/>
  <c r="G68" i="8"/>
  <c r="G69" i="8"/>
  <c r="U61" i="26" s="1"/>
  <c r="G70" i="8"/>
  <c r="G62" i="8"/>
  <c r="G55" i="8"/>
  <c r="U47" i="26" s="1"/>
  <c r="G56" i="8"/>
  <c r="U48" i="26" s="1"/>
  <c r="G57" i="8"/>
  <c r="U49" i="26" s="1"/>
  <c r="G58" i="8"/>
  <c r="G59" i="8"/>
  <c r="G60" i="8"/>
  <c r="U52" i="26" s="1"/>
  <c r="G54" i="8"/>
  <c r="G46" i="8"/>
  <c r="G47" i="8"/>
  <c r="G44" i="8" s="1"/>
  <c r="U36" i="26" s="1"/>
  <c r="G48" i="8"/>
  <c r="U40" i="26" s="1"/>
  <c r="G49" i="8"/>
  <c r="U41" i="26" s="1"/>
  <c r="G50" i="8"/>
  <c r="G51" i="8"/>
  <c r="U43" i="26" s="1"/>
  <c r="G52" i="8"/>
  <c r="U44" i="26" s="1"/>
  <c r="G45" i="8"/>
  <c r="U37" i="26" s="1"/>
  <c r="G39" i="8"/>
  <c r="G40" i="8"/>
  <c r="G41" i="8"/>
  <c r="G38" i="8"/>
  <c r="G11" i="8"/>
  <c r="G12" i="8"/>
  <c r="G13" i="8"/>
  <c r="G14" i="8"/>
  <c r="G15" i="8"/>
  <c r="G16" i="8"/>
  <c r="G17" i="8"/>
  <c r="G18" i="8"/>
  <c r="G20" i="8"/>
  <c r="G21" i="8"/>
  <c r="U14" i="26" s="1"/>
  <c r="G22" i="8"/>
  <c r="G23" i="8"/>
  <c r="G24" i="8"/>
  <c r="U17" i="26" s="1"/>
  <c r="G25" i="8"/>
  <c r="U18" i="26" s="1"/>
  <c r="G26" i="8"/>
  <c r="G28" i="8"/>
  <c r="G29" i="8"/>
  <c r="G30" i="8"/>
  <c r="G31" i="8"/>
  <c r="G32" i="8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P31" i="24" s="1"/>
  <c r="B48" i="6"/>
  <c r="B58" i="6"/>
  <c r="P51" i="24" s="1"/>
  <c r="B71" i="6"/>
  <c r="B75" i="6"/>
  <c r="G152" i="6"/>
  <c r="G153" i="6"/>
  <c r="G150" i="6" s="1"/>
  <c r="U142" i="24" s="1"/>
  <c r="G154" i="6"/>
  <c r="G155" i="6"/>
  <c r="G156" i="6"/>
  <c r="G157" i="6"/>
  <c r="U149" i="24" s="1"/>
  <c r="G151" i="6"/>
  <c r="G148" i="6"/>
  <c r="G149" i="6"/>
  <c r="G147" i="6"/>
  <c r="G139" i="6"/>
  <c r="G140" i="6"/>
  <c r="G141" i="6"/>
  <c r="U133" i="24" s="1"/>
  <c r="G142" i="6"/>
  <c r="U134" i="24" s="1"/>
  <c r="G143" i="6"/>
  <c r="G144" i="6"/>
  <c r="G145" i="6"/>
  <c r="U137" i="24" s="1"/>
  <c r="G138" i="6"/>
  <c r="G137" i="6" s="1"/>
  <c r="U129" i="24" s="1"/>
  <c r="G135" i="6"/>
  <c r="G136" i="6"/>
  <c r="U128" i="24" s="1"/>
  <c r="G134" i="6"/>
  <c r="G133" i="6" s="1"/>
  <c r="U125" i="24" s="1"/>
  <c r="G125" i="6"/>
  <c r="U117" i="24" s="1"/>
  <c r="G126" i="6"/>
  <c r="G127" i="6"/>
  <c r="G128" i="6"/>
  <c r="G129" i="6"/>
  <c r="U121" i="24" s="1"/>
  <c r="G130" i="6"/>
  <c r="G131" i="6"/>
  <c r="G132" i="6"/>
  <c r="U124" i="24" s="1"/>
  <c r="G124" i="6"/>
  <c r="G123" i="6" s="1"/>
  <c r="U115" i="24" s="1"/>
  <c r="G115" i="6"/>
  <c r="G116" i="6"/>
  <c r="U108" i="24" s="1"/>
  <c r="G117" i="6"/>
  <c r="U109" i="24" s="1"/>
  <c r="G118" i="6"/>
  <c r="U110" i="24" s="1"/>
  <c r="G119" i="6"/>
  <c r="G120" i="6"/>
  <c r="U112" i="24" s="1"/>
  <c r="G121" i="6"/>
  <c r="U113" i="24" s="1"/>
  <c r="G122" i="6"/>
  <c r="U114" i="24" s="1"/>
  <c r="G114" i="6"/>
  <c r="G105" i="6"/>
  <c r="G106" i="6"/>
  <c r="G107" i="6"/>
  <c r="U99" i="24" s="1"/>
  <c r="G108" i="6"/>
  <c r="G109" i="6"/>
  <c r="G110" i="6"/>
  <c r="G111" i="6"/>
  <c r="U103" i="24" s="1"/>
  <c r="G112" i="6"/>
  <c r="G104" i="6"/>
  <c r="G95" i="6"/>
  <c r="G96" i="6"/>
  <c r="G97" i="6"/>
  <c r="U89" i="24" s="1"/>
  <c r="G98" i="6"/>
  <c r="G99" i="6"/>
  <c r="U91" i="24" s="1"/>
  <c r="G100" i="6"/>
  <c r="U92" i="24" s="1"/>
  <c r="G101" i="6"/>
  <c r="U93" i="24" s="1"/>
  <c r="G102" i="6"/>
  <c r="G94" i="6"/>
  <c r="G93" i="6" s="1"/>
  <c r="U85" i="24" s="1"/>
  <c r="G87" i="6"/>
  <c r="U79" i="24" s="1"/>
  <c r="G88" i="6"/>
  <c r="G89" i="6"/>
  <c r="G90" i="6"/>
  <c r="G91" i="6"/>
  <c r="U83" i="24" s="1"/>
  <c r="G92" i="6"/>
  <c r="G86" i="6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0" i="6"/>
  <c r="G61" i="6"/>
  <c r="G59" i="6"/>
  <c r="G58" i="6" s="1"/>
  <c r="U51" i="24" s="1"/>
  <c r="G50" i="6"/>
  <c r="U43" i="24" s="1"/>
  <c r="G51" i="6"/>
  <c r="G52" i="6"/>
  <c r="G53" i="6"/>
  <c r="G54" i="6"/>
  <c r="U47" i="24" s="1"/>
  <c r="G55" i="6"/>
  <c r="G56" i="6"/>
  <c r="G57" i="6"/>
  <c r="G49" i="6"/>
  <c r="G48" i="6" s="1"/>
  <c r="U41" i="24" s="1"/>
  <c r="G40" i="6"/>
  <c r="G41" i="6"/>
  <c r="G42" i="6"/>
  <c r="G43" i="6"/>
  <c r="G38" i="6" s="1"/>
  <c r="U31" i="24" s="1"/>
  <c r="G44" i="6"/>
  <c r="G45" i="6"/>
  <c r="G46" i="6"/>
  <c r="U39" i="24" s="1"/>
  <c r="G47" i="6"/>
  <c r="U40" i="24" s="1"/>
  <c r="G39" i="6"/>
  <c r="G30" i="6"/>
  <c r="G31" i="6"/>
  <c r="G28" i="6" s="1"/>
  <c r="U21" i="24" s="1"/>
  <c r="G32" i="6"/>
  <c r="U25" i="24" s="1"/>
  <c r="G33" i="6"/>
  <c r="G34" i="6"/>
  <c r="G35" i="6"/>
  <c r="U28" i="24" s="1"/>
  <c r="G36" i="6"/>
  <c r="U29" i="24" s="1"/>
  <c r="G37" i="6"/>
  <c r="G29" i="6"/>
  <c r="G20" i="6"/>
  <c r="U13" i="24" s="1"/>
  <c r="G21" i="6"/>
  <c r="G22" i="6"/>
  <c r="G23" i="6"/>
  <c r="U16" i="24" s="1"/>
  <c r="G24" i="6"/>
  <c r="U17" i="24" s="1"/>
  <c r="G25" i="6"/>
  <c r="G26" i="6"/>
  <c r="G27" i="6"/>
  <c r="U20" i="24" s="1"/>
  <c r="G19" i="6"/>
  <c r="U12" i="24" s="1"/>
  <c r="G11" i="6"/>
  <c r="U4" i="24" s="1"/>
  <c r="B7" i="13"/>
  <c r="G12" i="6"/>
  <c r="G13" i="6"/>
  <c r="G14" i="6"/>
  <c r="G15" i="6"/>
  <c r="G16" i="6"/>
  <c r="G17" i="6"/>
  <c r="G9" i="5"/>
  <c r="G10" i="5"/>
  <c r="G11" i="5"/>
  <c r="G12" i="5"/>
  <c r="G13" i="5"/>
  <c r="G14" i="5"/>
  <c r="G15" i="5"/>
  <c r="G17" i="5"/>
  <c r="U11" i="20" s="1"/>
  <c r="G18" i="5"/>
  <c r="G19" i="5"/>
  <c r="G20" i="5"/>
  <c r="G21" i="5"/>
  <c r="G22" i="5"/>
  <c r="U16" i="20" s="1"/>
  <c r="G23" i="5"/>
  <c r="G24" i="5"/>
  <c r="G25" i="5"/>
  <c r="U19" i="20" s="1"/>
  <c r="G26" i="5"/>
  <c r="G27" i="5"/>
  <c r="G29" i="5"/>
  <c r="G30" i="5"/>
  <c r="G31" i="5"/>
  <c r="U25" i="20" s="1"/>
  <c r="G32" i="5"/>
  <c r="G33" i="5"/>
  <c r="U27" i="20" s="1"/>
  <c r="G34" i="5"/>
  <c r="U28" i="20" s="1"/>
  <c r="G36" i="5"/>
  <c r="G35" i="5" s="1"/>
  <c r="U29" i="20" s="1"/>
  <c r="G38" i="5"/>
  <c r="U32" i="20" s="1"/>
  <c r="G39" i="5"/>
  <c r="U33" i="20" s="1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E7" i="13"/>
  <c r="F7" i="13"/>
  <c r="G7" i="13"/>
  <c r="U2" i="31" s="1"/>
  <c r="Q2" i="31"/>
  <c r="R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 s="1"/>
  <c r="E28" i="12"/>
  <c r="S21" i="30"/>
  <c r="F28" i="12"/>
  <c r="G28" i="12"/>
  <c r="U21" i="30"/>
  <c r="P22" i="30"/>
  <c r="Q22" i="30"/>
  <c r="R22" i="30"/>
  <c r="S22" i="30"/>
  <c r="T22" i="30"/>
  <c r="U22" i="30"/>
  <c r="B7" i="12"/>
  <c r="P2" i="30" s="1"/>
  <c r="C7" i="12"/>
  <c r="D7" i="12"/>
  <c r="R2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 s="1"/>
  <c r="D19" i="11"/>
  <c r="R12" i="29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D8" i="11"/>
  <c r="D30" i="11"/>
  <c r="R22" i="29" s="1"/>
  <c r="E8" i="11"/>
  <c r="S2" i="29" s="1"/>
  <c r="F8" i="11"/>
  <c r="T2" i="29" s="1"/>
  <c r="G8" i="11"/>
  <c r="Q2" i="29"/>
  <c r="R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T21" i="28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R9" i="27"/>
  <c r="D9" i="9"/>
  <c r="R2" i="27" s="1"/>
  <c r="S9" i="27"/>
  <c r="E9" i="9"/>
  <c r="S2" i="27" s="1"/>
  <c r="F9" i="9"/>
  <c r="T2" i="27" s="1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U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Q20" i="27"/>
  <c r="D21" i="9"/>
  <c r="R13" i="27" s="1"/>
  <c r="E21" i="9"/>
  <c r="E33" i="9" s="1"/>
  <c r="S24" i="27" s="1"/>
  <c r="U16" i="27"/>
  <c r="Q14" i="27"/>
  <c r="R14" i="27"/>
  <c r="S14" i="27"/>
  <c r="T14" i="27"/>
  <c r="U14" i="27"/>
  <c r="Q15" i="27"/>
  <c r="R15" i="27"/>
  <c r="S15" i="27"/>
  <c r="T15" i="27"/>
  <c r="R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R20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D33" i="9"/>
  <c r="R24" i="27" s="1"/>
  <c r="P3" i="27"/>
  <c r="P4" i="27"/>
  <c r="P5" i="27"/>
  <c r="P6" i="27"/>
  <c r="P7" i="27"/>
  <c r="P8" i="27"/>
  <c r="B9" i="9"/>
  <c r="P2" i="27" s="1"/>
  <c r="P9" i="27"/>
  <c r="P10" i="27"/>
  <c r="P11" i="27"/>
  <c r="P12" i="27"/>
  <c r="P20" i="27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D10" i="8"/>
  <c r="R3" i="26" s="1"/>
  <c r="D19" i="8"/>
  <c r="R12" i="26" s="1"/>
  <c r="D27" i="8"/>
  <c r="R20" i="26" s="1"/>
  <c r="D37" i="8"/>
  <c r="E10" i="8"/>
  <c r="E19" i="8"/>
  <c r="E27" i="8"/>
  <c r="E37" i="8"/>
  <c r="F10" i="8"/>
  <c r="T3" i="26" s="1"/>
  <c r="F19" i="8"/>
  <c r="F27" i="8"/>
  <c r="F37" i="8"/>
  <c r="T30" i="26" s="1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U19" i="26"/>
  <c r="S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C71" i="8"/>
  <c r="D44" i="8"/>
  <c r="R36" i="26" s="1"/>
  <c r="D53" i="8"/>
  <c r="R45" i="26" s="1"/>
  <c r="D61" i="8"/>
  <c r="R53" i="26" s="1"/>
  <c r="D71" i="8"/>
  <c r="E44" i="8"/>
  <c r="E53" i="8"/>
  <c r="S45" i="26" s="1"/>
  <c r="E61" i="8"/>
  <c r="S53" i="26" s="1"/>
  <c r="E71" i="8"/>
  <c r="S63" i="26" s="1"/>
  <c r="F44" i="8"/>
  <c r="T36" i="26" s="1"/>
  <c r="F53" i="8"/>
  <c r="F61" i="8"/>
  <c r="T53" i="26" s="1"/>
  <c r="F71" i="8"/>
  <c r="S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Q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Q63" i="26"/>
  <c r="R63" i="26"/>
  <c r="T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P53" i="26" s="1"/>
  <c r="B71" i="8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E19" i="7"/>
  <c r="S3" i="25" s="1"/>
  <c r="D9" i="7"/>
  <c r="D19" i="7"/>
  <c r="R3" i="25" s="1"/>
  <c r="C9" i="7"/>
  <c r="C19" i="7"/>
  <c r="Q3" i="25" s="1"/>
  <c r="B9" i="7"/>
  <c r="P2" i="25" s="1"/>
  <c r="B19" i="7"/>
  <c r="P3" i="25" s="1"/>
  <c r="A3" i="25"/>
  <c r="A4" i="25"/>
  <c r="A2" i="25"/>
  <c r="A87" i="24"/>
  <c r="C85" i="6"/>
  <c r="Q77" i="24" s="1"/>
  <c r="C93" i="6"/>
  <c r="Q85" i="24" s="1"/>
  <c r="C103" i="6"/>
  <c r="C113" i="6"/>
  <c r="Q105" i="24" s="1"/>
  <c r="C123" i="6"/>
  <c r="Q115" i="24" s="1"/>
  <c r="C133" i="6"/>
  <c r="Q125" i="24" s="1"/>
  <c r="C146" i="6"/>
  <c r="C150" i="6"/>
  <c r="D85" i="6"/>
  <c r="R77" i="24" s="1"/>
  <c r="D93" i="6"/>
  <c r="D103" i="6"/>
  <c r="R95" i="24" s="1"/>
  <c r="D113" i="6"/>
  <c r="D123" i="6"/>
  <c r="R115" i="24" s="1"/>
  <c r="D133" i="6"/>
  <c r="D146" i="6"/>
  <c r="R138" i="24" s="1"/>
  <c r="D150" i="6"/>
  <c r="E85" i="6"/>
  <c r="S77" i="24" s="1"/>
  <c r="E93" i="6"/>
  <c r="E103" i="6"/>
  <c r="E113" i="6"/>
  <c r="S105" i="24" s="1"/>
  <c r="E123" i="6"/>
  <c r="S115" i="24" s="1"/>
  <c r="E133" i="6"/>
  <c r="S125" i="24" s="1"/>
  <c r="E146" i="6"/>
  <c r="E150" i="6"/>
  <c r="F85" i="6"/>
  <c r="F93" i="6"/>
  <c r="F103" i="6"/>
  <c r="F113" i="6"/>
  <c r="T105" i="24" s="1"/>
  <c r="F123" i="6"/>
  <c r="F133" i="6"/>
  <c r="F146" i="6"/>
  <c r="F150" i="6"/>
  <c r="T142" i="24" s="1"/>
  <c r="G85" i="6"/>
  <c r="U77" i="24" s="1"/>
  <c r="G113" i="6"/>
  <c r="U105" i="24" s="1"/>
  <c r="T77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U84" i="24"/>
  <c r="R85" i="24"/>
  <c r="T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U104" i="24"/>
  <c r="R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T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R125" i="24"/>
  <c r="T125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Q129" i="24"/>
  <c r="R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Q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C28" i="6"/>
  <c r="C38" i="6"/>
  <c r="Q31" i="24" s="1"/>
  <c r="C48" i="6"/>
  <c r="Q41" i="24" s="1"/>
  <c r="C58" i="6"/>
  <c r="C71" i="6"/>
  <c r="C75" i="6"/>
  <c r="C9" i="6"/>
  <c r="D10" i="6"/>
  <c r="R3" i="24" s="1"/>
  <c r="D18" i="6"/>
  <c r="D28" i="6"/>
  <c r="R21" i="24" s="1"/>
  <c r="D38" i="6"/>
  <c r="R31" i="24" s="1"/>
  <c r="D48" i="6"/>
  <c r="D58" i="6"/>
  <c r="R51" i="24" s="1"/>
  <c r="D71" i="6"/>
  <c r="D75" i="6"/>
  <c r="E10" i="6"/>
  <c r="E18" i="6"/>
  <c r="E28" i="6"/>
  <c r="E38" i="6"/>
  <c r="S31" i="24" s="1"/>
  <c r="E48" i="6"/>
  <c r="E58" i="6"/>
  <c r="E71" i="6"/>
  <c r="E75" i="6"/>
  <c r="F10" i="6"/>
  <c r="F18" i="6"/>
  <c r="F28" i="6"/>
  <c r="T21" i="24" s="1"/>
  <c r="F38" i="6"/>
  <c r="T31" i="24" s="1"/>
  <c r="F48" i="6"/>
  <c r="F58" i="6"/>
  <c r="F71" i="6"/>
  <c r="F75" i="6"/>
  <c r="T68" i="24" s="1"/>
  <c r="G71" i="6"/>
  <c r="U64" i="24" s="1"/>
  <c r="G75" i="6"/>
  <c r="B85" i="6"/>
  <c r="B93" i="6"/>
  <c r="B103" i="6"/>
  <c r="P95" i="24" s="1"/>
  <c r="B113" i="6"/>
  <c r="P105" i="24" s="1"/>
  <c r="B123" i="6"/>
  <c r="P115" i="24" s="1"/>
  <c r="B133" i="6"/>
  <c r="B146" i="6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T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U30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R41" i="24"/>
  <c r="S41" i="24"/>
  <c r="T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T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2" i="20"/>
  <c r="U13" i="20"/>
  <c r="U14" i="20"/>
  <c r="U15" i="20"/>
  <c r="U17" i="20"/>
  <c r="U18" i="20"/>
  <c r="U20" i="20"/>
  <c r="U21" i="20"/>
  <c r="U23" i="20"/>
  <c r="U24" i="20"/>
  <c r="U26" i="20"/>
  <c r="U30" i="20"/>
  <c r="U40" i="20"/>
  <c r="G50" i="5"/>
  <c r="U42" i="20" s="1"/>
  <c r="U43" i="20"/>
  <c r="U44" i="20"/>
  <c r="U38" i="20"/>
  <c r="U41" i="20"/>
  <c r="U45" i="20"/>
  <c r="U47" i="20"/>
  <c r="U50" i="20"/>
  <c r="U48" i="20"/>
  <c r="U49" i="20"/>
  <c r="G59" i="5"/>
  <c r="U51" i="20" s="1"/>
  <c r="U52" i="20"/>
  <c r="U53" i="20"/>
  <c r="G62" i="5"/>
  <c r="U54" i="20" s="1"/>
  <c r="G63" i="5"/>
  <c r="U55" i="20"/>
  <c r="G68" i="5"/>
  <c r="U58" i="20" s="1"/>
  <c r="G67" i="5"/>
  <c r="U57" i="20" s="1"/>
  <c r="G73" i="5"/>
  <c r="U60" i="20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/>
  <c r="B45" i="5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Q67" i="15" s="1"/>
  <c r="D20" i="23"/>
  <c r="E6" i="1" s="1"/>
  <c r="F18" i="23"/>
  <c r="K6" i="3" s="1"/>
  <c r="E18" i="23"/>
  <c r="J6" i="3" s="1"/>
  <c r="D18" i="23"/>
  <c r="I6" i="3" s="1"/>
  <c r="B6" i="1"/>
  <c r="F5" i="13"/>
  <c r="C5" i="13"/>
  <c r="B5" i="13"/>
  <c r="C5" i="12"/>
  <c r="B5" i="12"/>
  <c r="F5" i="12"/>
  <c r="I25" i="23"/>
  <c r="D23" i="23"/>
  <c r="I23" i="23"/>
  <c r="G6" i="11" s="1"/>
  <c r="H23" i="23"/>
  <c r="G23" i="23"/>
  <c r="E6" i="11" s="1"/>
  <c r="F23" i="23"/>
  <c r="D6" i="11" s="1"/>
  <c r="E23" i="23"/>
  <c r="C6" i="11" s="1"/>
  <c r="C6" i="10"/>
  <c r="G5" i="13"/>
  <c r="G5" i="12"/>
  <c r="C11" i="23"/>
  <c r="A2" i="13" s="1"/>
  <c r="A2" i="12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G14" i="3"/>
  <c r="U4" i="17" s="1"/>
  <c r="E14" i="3"/>
  <c r="K9" i="3"/>
  <c r="K10" i="3"/>
  <c r="K11" i="3"/>
  <c r="K12" i="3"/>
  <c r="K8" i="3" s="1"/>
  <c r="J8" i="3"/>
  <c r="X3" i="17" s="1"/>
  <c r="H8" i="3"/>
  <c r="H20" i="3" s="1"/>
  <c r="V5" i="17" s="1"/>
  <c r="G8" i="3"/>
  <c r="E8" i="3"/>
  <c r="S3" i="17" s="1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P30" i="18" s="1"/>
  <c r="B49" i="4"/>
  <c r="P27" i="18" s="1"/>
  <c r="B48" i="4"/>
  <c r="P26" i="18" s="1"/>
  <c r="B37" i="4"/>
  <c r="B44" i="4" s="1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Q76" i="15" s="1"/>
  <c r="Q80" i="15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E27" i="1"/>
  <c r="P76" i="15" s="1"/>
  <c r="P80" i="15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Q33" i="18" s="1"/>
  <c r="D64" i="4"/>
  <c r="C63" i="4"/>
  <c r="D63" i="4"/>
  <c r="R32" i="18" s="1"/>
  <c r="C48" i="4"/>
  <c r="C55" i="4"/>
  <c r="D55" i="4"/>
  <c r="R31" i="18" s="1"/>
  <c r="C53" i="4"/>
  <c r="D53" i="4"/>
  <c r="R30" i="18" s="1"/>
  <c r="D48" i="4"/>
  <c r="R26" i="18" s="1"/>
  <c r="C49" i="4"/>
  <c r="Q27" i="18" s="1"/>
  <c r="D49" i="4"/>
  <c r="C29" i="4"/>
  <c r="Q15" i="18" s="1"/>
  <c r="D29" i="4"/>
  <c r="R15" i="18" s="1"/>
  <c r="C40" i="4"/>
  <c r="Q22" i="18" s="1"/>
  <c r="D40" i="4"/>
  <c r="C37" i="4"/>
  <c r="Q19" i="18" s="1"/>
  <c r="D37" i="4"/>
  <c r="C17" i="4"/>
  <c r="C13" i="4"/>
  <c r="Q6" i="18" s="1"/>
  <c r="D13" i="4"/>
  <c r="V4" i="17"/>
  <c r="S17" i="16"/>
  <c r="C13" i="2"/>
  <c r="Q8" i="16" s="1"/>
  <c r="D13" i="2"/>
  <c r="R8" i="16" s="1"/>
  <c r="E13" i="2"/>
  <c r="S8" i="16" s="1"/>
  <c r="F13" i="2"/>
  <c r="T8" i="16"/>
  <c r="G13" i="2"/>
  <c r="U8" i="16" s="1"/>
  <c r="H13" i="2"/>
  <c r="V8" i="16"/>
  <c r="B13" i="2"/>
  <c r="P8" i="16" s="1"/>
  <c r="C9" i="2"/>
  <c r="Q4" i="16"/>
  <c r="D9" i="2"/>
  <c r="R4" i="16" s="1"/>
  <c r="E9" i="2"/>
  <c r="S4" i="16"/>
  <c r="F9" i="2"/>
  <c r="T4" i="16" s="1"/>
  <c r="G9" i="2"/>
  <c r="U4" i="16" s="1"/>
  <c r="H9" i="2"/>
  <c r="V4" i="16" s="1"/>
  <c r="B9" i="2"/>
  <c r="P4" i="15"/>
  <c r="Q30" i="18"/>
  <c r="Q9" i="18"/>
  <c r="Q32" i="18"/>
  <c r="Q36" i="18"/>
  <c r="R19" i="18"/>
  <c r="Q31" i="18"/>
  <c r="R33" i="18"/>
  <c r="R6" i="18"/>
  <c r="Q26" i="18"/>
  <c r="S14" i="16"/>
  <c r="T14" i="16"/>
  <c r="E8" i="2"/>
  <c r="E20" i="2" s="1"/>
  <c r="S13" i="16" s="1"/>
  <c r="C8" i="2"/>
  <c r="C20" i="2" s="1"/>
  <c r="Q13" i="16" s="1"/>
  <c r="S3" i="16"/>
  <c r="V3" i="17"/>
  <c r="G20" i="3" l="1"/>
  <c r="U5" i="17" s="1"/>
  <c r="K14" i="3"/>
  <c r="Y4" i="17" s="1"/>
  <c r="B8" i="2"/>
  <c r="G8" i="2"/>
  <c r="B20" i="2"/>
  <c r="P13" i="16" s="1"/>
  <c r="P3" i="16"/>
  <c r="P4" i="16"/>
  <c r="I20" i="3"/>
  <c r="W5" i="17" s="1"/>
  <c r="G30" i="11"/>
  <c r="U22" i="29" s="1"/>
  <c r="B32" i="10"/>
  <c r="P23" i="28" s="1"/>
  <c r="G32" i="10"/>
  <c r="U23" i="28" s="1"/>
  <c r="F32" i="10"/>
  <c r="T23" i="28" s="1"/>
  <c r="C32" i="10"/>
  <c r="Q23" i="28" s="1"/>
  <c r="D32" i="10"/>
  <c r="R23" i="28" s="1"/>
  <c r="E31" i="12"/>
  <c r="S23" i="30" s="1"/>
  <c r="F31" i="12"/>
  <c r="T23" i="30" s="1"/>
  <c r="B31" i="12"/>
  <c r="P23" i="30" s="1"/>
  <c r="F65" i="5"/>
  <c r="T56" i="20" s="1"/>
  <c r="D65" i="5"/>
  <c r="R56" i="20" s="1"/>
  <c r="C65" i="5"/>
  <c r="Q56" i="20" s="1"/>
  <c r="E65" i="5"/>
  <c r="S56" i="20" s="1"/>
  <c r="F41" i="5"/>
  <c r="T34" i="20" s="1"/>
  <c r="D41" i="5"/>
  <c r="R34" i="20" s="1"/>
  <c r="G37" i="5"/>
  <c r="U31" i="20" s="1"/>
  <c r="C41" i="5"/>
  <c r="Q34" i="20" s="1"/>
  <c r="E41" i="5"/>
  <c r="G16" i="5"/>
  <c r="U10" i="20" s="1"/>
  <c r="C72" i="4"/>
  <c r="C74" i="4" s="1"/>
  <c r="Q39" i="18" s="1"/>
  <c r="B72" i="4"/>
  <c r="B74" i="4" s="1"/>
  <c r="P39" i="18" s="1"/>
  <c r="D44" i="4"/>
  <c r="R25" i="18" s="1"/>
  <c r="B57" i="4"/>
  <c r="B59" i="4" s="1"/>
  <c r="G29" i="13"/>
  <c r="U22" i="31" s="1"/>
  <c r="C29" i="13"/>
  <c r="Q22" i="31" s="1"/>
  <c r="E29" i="13"/>
  <c r="S22" i="31" s="1"/>
  <c r="S2" i="31"/>
  <c r="E30" i="11"/>
  <c r="S22" i="29" s="1"/>
  <c r="C30" i="11"/>
  <c r="Q22" i="29" s="1"/>
  <c r="F30" i="11"/>
  <c r="T22" i="29" s="1"/>
  <c r="B30" i="11"/>
  <c r="P22" i="29" s="1"/>
  <c r="B43" i="8"/>
  <c r="P35" i="26" s="1"/>
  <c r="U39" i="26"/>
  <c r="C43" i="8"/>
  <c r="Q35" i="26" s="1"/>
  <c r="G37" i="8"/>
  <c r="U30" i="26" s="1"/>
  <c r="G27" i="8"/>
  <c r="U20" i="26" s="1"/>
  <c r="D9" i="8"/>
  <c r="R2" i="26" s="1"/>
  <c r="F9" i="8"/>
  <c r="T2" i="26" s="1"/>
  <c r="E9" i="8"/>
  <c r="S2" i="26" s="1"/>
  <c r="B9" i="8"/>
  <c r="P2" i="26" s="1"/>
  <c r="T12" i="26"/>
  <c r="G19" i="7"/>
  <c r="U3" i="25" s="1"/>
  <c r="C29" i="7"/>
  <c r="Q4" i="25" s="1"/>
  <c r="D29" i="7"/>
  <c r="R4" i="25" s="1"/>
  <c r="F29" i="7"/>
  <c r="T4" i="25" s="1"/>
  <c r="G9" i="7"/>
  <c r="U2" i="25" s="1"/>
  <c r="Q2" i="25"/>
  <c r="U145" i="24"/>
  <c r="G146" i="6"/>
  <c r="U138" i="24" s="1"/>
  <c r="U126" i="24"/>
  <c r="B84" i="6"/>
  <c r="P76" i="24" s="1"/>
  <c r="C84" i="6"/>
  <c r="Q76" i="24" s="1"/>
  <c r="U86" i="24"/>
  <c r="P85" i="24"/>
  <c r="G62" i="6"/>
  <c r="U55" i="24" s="1"/>
  <c r="U52" i="24"/>
  <c r="U42" i="24"/>
  <c r="U36" i="24"/>
  <c r="U24" i="24"/>
  <c r="G10" i="6"/>
  <c r="F9" i="6"/>
  <c r="T2" i="24" s="1"/>
  <c r="Q2" i="24"/>
  <c r="C44" i="4"/>
  <c r="C11" i="4" s="1"/>
  <c r="C8" i="4" s="1"/>
  <c r="D57" i="4"/>
  <c r="D59" i="4" s="1"/>
  <c r="C57" i="4"/>
  <c r="C59" i="4" s="1"/>
  <c r="E20" i="3"/>
  <c r="S5" i="17" s="1"/>
  <c r="T2" i="25"/>
  <c r="J20" i="3"/>
  <c r="X5" i="17" s="1"/>
  <c r="R2" i="25"/>
  <c r="B29" i="7"/>
  <c r="P4" i="25" s="1"/>
  <c r="E79" i="1"/>
  <c r="P119" i="15" s="1"/>
  <c r="F47" i="1"/>
  <c r="F59" i="1" s="1"/>
  <c r="E47" i="1"/>
  <c r="E59" i="1" s="1"/>
  <c r="P104" i="15" s="1"/>
  <c r="D6" i="10"/>
  <c r="G6" i="10"/>
  <c r="D5" i="12"/>
  <c r="F6" i="1"/>
  <c r="E5" i="12"/>
  <c r="A2" i="6"/>
  <c r="A2" i="11"/>
  <c r="B11" i="4"/>
  <c r="P25" i="18"/>
  <c r="Q104" i="15"/>
  <c r="Y3" i="17"/>
  <c r="Q42" i="15"/>
  <c r="C62" i="1"/>
  <c r="Q54" i="15" s="1"/>
  <c r="Q3" i="16"/>
  <c r="R27" i="18"/>
  <c r="S4" i="17"/>
  <c r="P95" i="15"/>
  <c r="F79" i="1"/>
  <c r="Q119" i="15" s="1"/>
  <c r="F6" i="11"/>
  <c r="F6" i="10"/>
  <c r="B41" i="5"/>
  <c r="H8" i="2"/>
  <c r="D8" i="2"/>
  <c r="R22" i="18"/>
  <c r="Q12" i="15"/>
  <c r="P106" i="15"/>
  <c r="A2" i="10"/>
  <c r="E6" i="10"/>
  <c r="G75" i="5"/>
  <c r="U62" i="20" s="1"/>
  <c r="U61" i="20"/>
  <c r="R11" i="24"/>
  <c r="D9" i="6"/>
  <c r="E84" i="6"/>
  <c r="S76" i="24" s="1"/>
  <c r="S85" i="24"/>
  <c r="B6" i="11"/>
  <c r="B6" i="10"/>
  <c r="E9" i="6"/>
  <c r="S21" i="24"/>
  <c r="U3" i="24"/>
  <c r="U3" i="17"/>
  <c r="Q95" i="15"/>
  <c r="F8" i="2"/>
  <c r="D72" i="4"/>
  <c r="W3" i="17"/>
  <c r="P19" i="18"/>
  <c r="B65" i="5"/>
  <c r="P56" i="20" s="1"/>
  <c r="P37" i="20"/>
  <c r="G54" i="5"/>
  <c r="U46" i="20" s="1"/>
  <c r="G45" i="5"/>
  <c r="U39" i="20"/>
  <c r="P45" i="26"/>
  <c r="S12" i="26"/>
  <c r="Q12" i="26"/>
  <c r="C9" i="8"/>
  <c r="Q2" i="26" s="1"/>
  <c r="T16" i="27"/>
  <c r="F21" i="9"/>
  <c r="G61" i="8"/>
  <c r="U53" i="26" s="1"/>
  <c r="U57" i="26"/>
  <c r="E43" i="8"/>
  <c r="D43" i="8"/>
  <c r="S16" i="27"/>
  <c r="S13" i="27"/>
  <c r="C21" i="9"/>
  <c r="Q16" i="27"/>
  <c r="T9" i="27"/>
  <c r="E32" i="10"/>
  <c r="S23" i="28" s="1"/>
  <c r="R21" i="28"/>
  <c r="D31" i="12"/>
  <c r="R23" i="30" s="1"/>
  <c r="F29" i="13"/>
  <c r="T22" i="31" s="1"/>
  <c r="T2" i="31"/>
  <c r="G10" i="8"/>
  <c r="U7" i="27"/>
  <c r="G21" i="9"/>
  <c r="D84" i="6"/>
  <c r="R76" i="24" s="1"/>
  <c r="E29" i="7"/>
  <c r="S4" i="25" s="1"/>
  <c r="S2" i="25"/>
  <c r="B21" i="9"/>
  <c r="P16" i="27"/>
  <c r="T21" i="30"/>
  <c r="D29" i="13"/>
  <c r="R22" i="31" s="1"/>
  <c r="B29" i="13"/>
  <c r="P22" i="31" s="1"/>
  <c r="G19" i="8"/>
  <c r="U12" i="26" s="1"/>
  <c r="F84" i="6"/>
  <c r="T76" i="24" s="1"/>
  <c r="T45" i="26"/>
  <c r="F43" i="8"/>
  <c r="G31" i="12"/>
  <c r="U23" i="30" s="1"/>
  <c r="U2" i="30"/>
  <c r="C31" i="12"/>
  <c r="Q23" i="30" s="1"/>
  <c r="Q2" i="30"/>
  <c r="G28" i="5"/>
  <c r="G18" i="6"/>
  <c r="U11" i="24" s="1"/>
  <c r="G103" i="6"/>
  <c r="B9" i="6"/>
  <c r="G53" i="8"/>
  <c r="G71" i="8"/>
  <c r="U63" i="26" s="1"/>
  <c r="K20" i="3" l="1"/>
  <c r="Y5" i="17" s="1"/>
  <c r="U3" i="16"/>
  <c r="G20" i="2"/>
  <c r="U13" i="16" s="1"/>
  <c r="F70" i="5"/>
  <c r="D70" i="5"/>
  <c r="C70" i="5"/>
  <c r="S34" i="20"/>
  <c r="E70" i="5"/>
  <c r="Q38" i="18"/>
  <c r="P38" i="18"/>
  <c r="D11" i="4"/>
  <c r="Q5" i="18"/>
  <c r="Q25" i="18"/>
  <c r="B77" i="8"/>
  <c r="P68" i="26" s="1"/>
  <c r="G29" i="7"/>
  <c r="U4" i="25" s="1"/>
  <c r="C159" i="6"/>
  <c r="Q150" i="24" s="1"/>
  <c r="E81" i="1"/>
  <c r="P120" i="15" s="1"/>
  <c r="F77" i="8"/>
  <c r="T68" i="26" s="1"/>
  <c r="T35" i="26"/>
  <c r="S2" i="24"/>
  <c r="E159" i="6"/>
  <c r="S150" i="24" s="1"/>
  <c r="R3" i="16"/>
  <c r="D20" i="2"/>
  <c r="R13" i="16" s="1"/>
  <c r="U45" i="26"/>
  <c r="G43" i="8"/>
  <c r="G41" i="5"/>
  <c r="U22" i="20"/>
  <c r="D74" i="4"/>
  <c r="R39" i="18" s="1"/>
  <c r="R38" i="18"/>
  <c r="V3" i="16"/>
  <c r="H20" i="2"/>
  <c r="V13" i="16" s="1"/>
  <c r="C21" i="4"/>
  <c r="Q2" i="18"/>
  <c r="U13" i="27"/>
  <c r="B159" i="6"/>
  <c r="P150" i="24" s="1"/>
  <c r="P2" i="24"/>
  <c r="C77" i="8"/>
  <c r="Q68" i="26" s="1"/>
  <c r="G9" i="9"/>
  <c r="U2" i="27" s="1"/>
  <c r="U5" i="27"/>
  <c r="D77" i="8"/>
  <c r="R68" i="26" s="1"/>
  <c r="R35" i="26"/>
  <c r="T13" i="27"/>
  <c r="F33" i="9"/>
  <c r="T24" i="27" s="1"/>
  <c r="U37" i="20"/>
  <c r="G65" i="5"/>
  <c r="U56" i="20" s="1"/>
  <c r="F20" i="2"/>
  <c r="T13" i="16" s="1"/>
  <c r="T3" i="16"/>
  <c r="G9" i="6"/>
  <c r="F159" i="6"/>
  <c r="T150" i="24" s="1"/>
  <c r="R5" i="18"/>
  <c r="D8" i="4"/>
  <c r="F81" i="1"/>
  <c r="Q120" i="15" s="1"/>
  <c r="B33" i="9"/>
  <c r="P24" i="27" s="1"/>
  <c r="P13" i="27"/>
  <c r="P34" i="20"/>
  <c r="B70" i="5"/>
  <c r="U95" i="24"/>
  <c r="G84" i="6"/>
  <c r="U76" i="24" s="1"/>
  <c r="G9" i="8"/>
  <c r="U2" i="26" s="1"/>
  <c r="U3" i="26"/>
  <c r="C33" i="9"/>
  <c r="Q24" i="27" s="1"/>
  <c r="Q13" i="27"/>
  <c r="S35" i="26"/>
  <c r="E77" i="8"/>
  <c r="S68" i="26" s="1"/>
  <c r="R2" i="24"/>
  <c r="D159" i="6"/>
  <c r="R150" i="24" s="1"/>
  <c r="B62" i="1"/>
  <c r="P54" i="15" s="1"/>
  <c r="P42" i="15"/>
  <c r="P5" i="18"/>
  <c r="B8" i="4"/>
  <c r="G33" i="9" l="1"/>
  <c r="U24" i="27" s="1"/>
  <c r="G159" i="6"/>
  <c r="U150" i="24" s="1"/>
  <c r="U2" i="24"/>
  <c r="D21" i="4"/>
  <c r="R2" i="18"/>
  <c r="C23" i="4"/>
  <c r="Q12" i="18"/>
  <c r="B21" i="4"/>
  <c r="P2" i="18"/>
  <c r="G77" i="8"/>
  <c r="U68" i="26" s="1"/>
  <c r="U35" i="26"/>
  <c r="G42" i="5"/>
  <c r="U35" i="20" s="1"/>
  <c r="U34" i="20"/>
  <c r="G70" i="5"/>
  <c r="P12" i="18" l="1"/>
  <c r="B23" i="4"/>
  <c r="R12" i="18"/>
  <c r="D23" i="4"/>
  <c r="Q13" i="18"/>
  <c r="C25" i="4"/>
  <c r="Q14" i="18" l="1"/>
  <c r="C33" i="4"/>
  <c r="Q18" i="18" s="1"/>
  <c r="D25" i="4"/>
  <c r="R13" i="18"/>
  <c r="B25" i="4"/>
  <c r="P13" i="18"/>
  <c r="R14" i="18" l="1"/>
  <c r="D33" i="4"/>
  <c r="R18" i="18" s="1"/>
  <c r="P14" i="18"/>
  <c r="B33" i="4"/>
  <c r="P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<sst xmlns="http://schemas.openxmlformats.org/spreadsheetml/2006/main" count="4243" uniqueCount="3305">
  <si>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</si>
  <si>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</si>
  <si>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</si>
  <si>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</si>
  <si>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</si>
  <si>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</si>
  <si>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</si>
  <si>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</si>
  <si>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</si>
  <si>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</si>
  <si>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</si>
  <si>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</si>
  <si>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</si>
  <si>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</si>
  <si>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</si>
  <si>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</si>
  <si>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</si>
  <si>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</si>
  <si>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</si>
  <si>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</si>
  <si>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</si>
  <si>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</si>
  <si>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</si>
  <si>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</si>
  <si>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</si>
  <si>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</si>
  <si>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</si>
  <si>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</si>
  <si>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</si>
  <si>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</si>
  <si>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</si>
  <si>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</si>
  <si>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</si>
  <si>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</si>
  <si>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</si>
  <si>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</si>
  <si>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</si>
  <si>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</si>
  <si>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</si>
  <si>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</si>
  <si>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</si>
  <si>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</si>
  <si>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</si>
  <si>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</si>
  <si>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</si>
  <si>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</si>
  <si>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</si>
  <si>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</si>
  <si>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</si>
  <si>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</si>
  <si>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</si>
  <si>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</si>
  <si>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</si>
  <si>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</si>
  <si>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</si>
  <si>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</si>
  <si>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</si>
  <si>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</si>
  <si>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</si>
  <si>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</si>
  <si>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</si>
  <si>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</si>
  <si>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</si>
  <si>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</si>
  <si>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</si>
  <si>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</si>
  <si>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</si>
  <si>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</si>
  <si>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</si>
  <si>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</si>
  <si>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</si>
  <si>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</si>
  <si>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</si>
  <si>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</si>
  <si>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</si>
  <si>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</si>
  <si>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</si>
  <si>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</si>
  <si>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</si>
  <si>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</si>
  <si>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</si>
  <si>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</si>
  <si>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</si>
  <si>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</si>
  <si>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</si>
  <si>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</si>
  <si>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</si>
  <si>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</si>
  <si>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</si>
  <si>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</si>
  <si>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</si>
  <si>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</si>
  <si>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</si>
  <si>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</si>
  <si>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</si>
  <si>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</si>
  <si>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</si>
  <si>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</si>
  <si>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</si>
  <si>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</si>
  <si>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</si>
  <si>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</si>
  <si>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</si>
  <si>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</si>
  <si>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</si>
  <si>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</si>
  <si>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</si>
  <si>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</si>
  <si>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</si>
  <si>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</si>
  <si>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</si>
  <si>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</si>
  <si>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</si>
  <si>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</si>
  <si>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</si>
  <si>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</si>
  <si>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</si>
  <si>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</si>
  <si>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</si>
  <si>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</si>
  <si>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</si>
  <si>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</si>
  <si>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</si>
  <si>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</si>
  <si>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</si>
  <si>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</si>
  <si>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</si>
  <si>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</si>
  <si>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</si>
  <si>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</si>
  <si>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</si>
  <si>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</si>
  <si>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</si>
  <si>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</si>
  <si>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</si>
  <si>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</si>
  <si>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</si>
  <si>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</si>
  <si>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</si>
  <si>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</si>
  <si>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</si>
  <si>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</si>
  <si>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</si>
  <si>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</si>
  <si>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</si>
  <si>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</si>
  <si>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</si>
  <si>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</si>
  <si>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</si>
  <si>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</si>
  <si>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</si>
  <si>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</si>
  <si>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</si>
  <si>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</si>
  <si>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</si>
  <si>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</si>
  <si>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</si>
  <si>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</si>
  <si>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</si>
  <si>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</si>
  <si>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</si>
  <si>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</si>
  <si>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</si>
  <si>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</si>
  <si>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</si>
  <si>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</si>
  <si>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</si>
  <si>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</si>
  <si>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</si>
  <si>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</si>
  <si>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</si>
  <si>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</si>
  <si>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</si>
  <si>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</si>
  <si>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</si>
  <si>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</si>
  <si>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</si>
  <si>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</si>
  <si>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</si>
  <si>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</si>
  <si>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</si>
  <si>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</si>
  <si>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</si>
  <si>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</si>
  <si>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</si>
  <si>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</si>
  <si>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</si>
  <si>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</si>
  <si>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</si>
  <si>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</si>
  <si>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</si>
  <si>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</si>
  <si>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</si>
  <si>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</si>
  <si>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</si>
  <si>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</si>
  <si>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</si>
  <si>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</si>
  <si>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</si>
  <si>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</si>
  <si>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</si>
  <si>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</si>
  <si>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</si>
  <si>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</si>
  <si>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</si>
  <si>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</si>
  <si>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</si>
  <si>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</si>
  <si>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</si>
  <si>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</si>
  <si>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</si>
  <si>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</si>
  <si>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</si>
  <si>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</si>
  <si>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</si>
  <si>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</si>
  <si>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</si>
  <si>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</si>
  <si>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</si>
  <si>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</si>
  <si>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</si>
  <si>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</si>
  <si>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</si>
  <si>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</si>
  <si>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</si>
  <si>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</si>
  <si>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</si>
  <si>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</si>
  <si>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</si>
  <si>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</si>
  <si>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</si>
  <si>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</si>
  <si>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</si>
  <si>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</si>
  <si>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</si>
  <si>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</si>
  <si>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</si>
  <si>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</si>
  <si>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</si>
  <si>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</si>
  <si>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</si>
  <si>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</si>
  <si>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</si>
  <si>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</si>
  <si>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</si>
  <si>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</si>
  <si>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</si>
  <si>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</si>
  <si>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</si>
  <si>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</si>
  <si>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</si>
  <si>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</si>
  <si>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</si>
  <si>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</si>
  <si>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</si>
  <si>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</si>
  <si>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</si>
  <si>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</si>
  <si>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</si>
  <si>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</si>
  <si>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</si>
  <si>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</si>
  <si>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</si>
  <si>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</si>
  <si>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</si>
  <si>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</si>
  <si>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</si>
  <si>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</si>
  <si>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</si>
  <si>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</si>
  <si>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</si>
  <si>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</si>
  <si>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</si>
  <si>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</si>
  <si>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</si>
  <si>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</si>
  <si>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</si>
  <si>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</si>
  <si>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</si>
  <si>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</si>
  <si>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</si>
  <si>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</si>
  <si>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</si>
  <si>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</si>
  <si>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</si>
  <si>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</si>
  <si>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</si>
  <si>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</si>
  <si>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</si>
  <si>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</si>
  <si>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</si>
  <si>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</si>
  <si>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</si>
  <si>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</si>
  <si>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</si>
  <si>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</si>
  <si>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</si>
  <si>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</si>
  <si>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</si>
  <si>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</si>
  <si>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</si>
  <si>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</si>
  <si>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</si>
  <si>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</si>
  <si>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</si>
  <si>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</si>
  <si>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</si>
  <si>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</si>
  <si>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</si>
  <si>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</si>
  <si>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</si>
  <si>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</si>
  <si>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</si>
  <si>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</si>
  <si>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</si>
  <si>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</si>
  <si>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</si>
  <si>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</si>
  <si>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</si>
  <si>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</si>
  <si>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</si>
  <si>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</si>
  <si>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</si>
  <si>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</si>
  <si>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</si>
  <si>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</si>
  <si>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</si>
  <si>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</si>
  <si>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</si>
  <si>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</si>
  <si>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</si>
  <si>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</si>
  <si>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</si>
  <si>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</si>
  <si>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</si>
  <si>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</si>
  <si>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</si>
  <si>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</si>
  <si>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</si>
  <si>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</si>
  <si>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</si>
  <si>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</si>
  <si>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</si>
  <si>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</si>
  <si>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</si>
  <si>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</si>
  <si>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</si>
  <si>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</si>
  <si>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</si>
  <si>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</si>
  <si>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</si>
  <si>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</si>
  <si>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</si>
  <si>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</si>
  <si>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</si>
  <si>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</si>
  <si>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</si>
  <si>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</si>
  <si>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</si>
  <si>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</si>
  <si>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</si>
  <si>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</si>
  <si>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</si>
  <si>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</si>
  <si>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</si>
  <si>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</si>
  <si>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</si>
  <si>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</si>
  <si>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</si>
  <si>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</si>
  <si>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</si>
  <si>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</si>
  <si>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</si>
  <si>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</si>
  <si>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</si>
  <si>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</si>
  <si>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</si>
  <si>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</si>
  <si>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</si>
  <si>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</si>
  <si>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</si>
  <si>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</si>
  <si>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</si>
  <si>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</si>
  <si>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</si>
  <si>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</si>
  <si>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</si>
  <si>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</si>
  <si>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</si>
  <si>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</si>
  <si>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</si>
  <si>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</si>
  <si>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</si>
  <si>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</si>
  <si>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</si>
  <si>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</si>
  <si>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</si>
  <si>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</si>
  <si>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</si>
  <si>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</si>
  <si>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</si>
  <si>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</si>
  <si>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</si>
  <si>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</si>
  <si>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</si>
  <si>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</si>
  <si>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</si>
  <si>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</si>
  <si>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</si>
  <si>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</si>
  <si>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</si>
  <si>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</si>
  <si>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</si>
  <si>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</si>
  <si>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</si>
  <si>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</si>
  <si>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</si>
  <si>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</si>
  <si>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</si>
  <si>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</si>
  <si>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</si>
  <si>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</si>
  <si>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</si>
  <si>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</si>
  <si>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</si>
  <si>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</si>
  <si>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</si>
  <si>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</si>
  <si>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</si>
  <si>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</si>
  <si>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</si>
  <si>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</si>
  <si>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</si>
  <si>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</si>
  <si>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</si>
  <si>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</si>
  <si>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</si>
  <si>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</si>
  <si>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</si>
  <si>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</si>
  <si>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</si>
  <si>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</si>
  <si>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</si>
  <si>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</si>
  <si>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</si>
  <si>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</si>
  <si>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</si>
  <si>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</si>
  <si>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</si>
  <si>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</si>
  <si>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</si>
  <si>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</si>
  <si>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</si>
  <si>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</si>
  <si>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</si>
  <si>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</si>
  <si>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</si>
  <si>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</si>
  <si>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</si>
  <si>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</si>
  <si>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</si>
  <si>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</si>
  <si>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</si>
  <si>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</si>
  <si>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</si>
  <si>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</si>
  <si>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</si>
  <si>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</si>
  <si>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</si>
  <si>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</si>
  <si>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</si>
  <si>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</si>
  <si>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</si>
  <si>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</si>
  <si>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</si>
  <si>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</si>
  <si>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</si>
  <si>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</si>
  <si>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</si>
  <si>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</si>
  <si>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</si>
  <si>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</si>
  <si>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</si>
  <si>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</si>
  <si>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</si>
  <si>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</si>
  <si>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</si>
  <si>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</si>
  <si>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</si>
  <si>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</si>
  <si>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</si>
  <si>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</si>
  <si>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</si>
  <si>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</si>
  <si>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</si>
  <si>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</si>
  <si>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</si>
  <si>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</si>
  <si>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</si>
  <si>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</si>
  <si>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</si>
  <si>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</si>
  <si>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</si>
  <si>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</si>
  <si>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</si>
  <si>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</si>
  <si>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</si>
  <si>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</si>
  <si>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</si>
  <si>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</si>
  <si>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</si>
  <si>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</si>
  <si>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</si>
  <si>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</si>
  <si>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</si>
  <si>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</si>
  <si>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</si>
  <si>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</si>
  <si>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</si>
  <si>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</si>
  <si>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</si>
  <si>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</si>
  <si>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</si>
  <si>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</si>
  <si>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</si>
  <si>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</si>
  <si>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</si>
  <si>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</si>
  <si>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</si>
  <si>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</si>
  <si>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</si>
  <si>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</si>
  <si>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</si>
  <si>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</si>
  <si>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</si>
  <si>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</si>
  <si>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</si>
  <si>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</si>
  <si>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</si>
  <si>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</si>
  <si>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</si>
  <si>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</si>
  <si>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</si>
  <si>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</si>
  <si>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</si>
  <si>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</si>
  <si>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</si>
  <si>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</si>
  <si>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</si>
  <si>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</si>
  <si>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</si>
  <si>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</si>
  <si>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</si>
  <si>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</si>
  <si>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</si>
  <si>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</si>
  <si>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</si>
  <si>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</si>
  <si>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</si>
  <si>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</si>
  <si>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</si>
  <si>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</si>
  <si>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</si>
  <si>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</si>
  <si>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</si>
  <si>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</si>
  <si>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</si>
  <si>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</si>
  <si>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</si>
  <si>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</si>
  <si>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</si>
  <si>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</si>
  <si>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</si>
  <si>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</si>
  <si>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</si>
  <si>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</si>
  <si>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</si>
  <si>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</si>
  <si>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</si>
  <si>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</si>
  <si>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</si>
  <si>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</si>
  <si>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</si>
  <si>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</si>
  <si>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</si>
  <si>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</si>
  <si>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</si>
  <si>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</si>
  <si>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</si>
  <si>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</si>
  <si>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</si>
  <si>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</si>
  <si>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</si>
  <si>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</si>
  <si>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</si>
  <si>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</si>
  <si>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</si>
  <si>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</si>
  <si>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</si>
  <si>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</si>
  <si>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</si>
  <si>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</si>
  <si>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</si>
  <si>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</si>
  <si>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</si>
  <si>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</si>
  <si>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</si>
  <si>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</si>
  <si>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</si>
  <si>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</si>
  <si>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</si>
  <si>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</si>
  <si>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</si>
  <si>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</si>
  <si>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</si>
  <si>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</si>
  <si>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</si>
  <si>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</si>
  <si>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</si>
  <si>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</si>
  <si>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</si>
  <si>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</si>
  <si>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</si>
  <si>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</si>
  <si>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</si>
  <si>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</si>
  <si>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</si>
  <si>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</si>
  <si>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</si>
  <si>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</si>
  <si>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</si>
  <si>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</si>
  <si>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</si>
  <si>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</si>
  <si>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</si>
  <si>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</si>
  <si>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</si>
  <si>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</si>
  <si>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</si>
  <si>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</si>
  <si>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</si>
  <si>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</si>
  <si>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</si>
  <si>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</si>
  <si>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</si>
  <si>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</si>
  <si>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</si>
  <si>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</si>
  <si>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</si>
  <si>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</si>
  <si>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</si>
  <si>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</si>
  <si>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</si>
  <si>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</si>
  <si>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</si>
  <si>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</si>
  <si>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</si>
  <si>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</si>
  <si>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</si>
  <si>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</si>
  <si>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</si>
  <si>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</si>
  <si>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</si>
  <si>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</si>
  <si>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</si>
  <si>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</si>
  <si>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</si>
  <si>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</si>
  <si>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</si>
  <si>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</si>
  <si>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</si>
  <si>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</si>
  <si>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</si>
  <si>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</si>
  <si>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</si>
  <si>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</si>
  <si>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</si>
  <si>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</si>
  <si>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</si>
  <si>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</si>
  <si>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</si>
  <si>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</si>
  <si>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</si>
  <si>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</si>
  <si>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</si>
  <si>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</si>
  <si>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</si>
  <si>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</si>
  <si>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</si>
  <si>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</si>
  <si>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</si>
  <si>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</si>
  <si>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</si>
  <si>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</si>
  <si>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</si>
  <si>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</si>
  <si>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</si>
  <si>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</si>
  <si>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</si>
  <si>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</si>
  <si>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</si>
  <si>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</si>
  <si>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</si>
  <si>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</si>
  <si>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</si>
  <si>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</si>
  <si>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</si>
  <si>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</si>
  <si>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</si>
  <si>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</si>
  <si>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</si>
  <si>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</si>
  <si>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</si>
  <si>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</si>
  <si>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</si>
  <si>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</si>
  <si>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</si>
  <si>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</si>
  <si>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</si>
  <si>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</si>
  <si>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</si>
  <si>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</si>
  <si>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</si>
  <si>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</si>
  <si>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</si>
  <si>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</si>
  <si>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</si>
  <si>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</si>
  <si>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</si>
  <si>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</si>
  <si>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</si>
  <si>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</si>
  <si>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</si>
  <si>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</si>
  <si>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</si>
  <si>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</si>
  <si>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</si>
  <si>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</si>
  <si>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</si>
  <si>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</si>
  <si>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</si>
  <si>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</si>
  <si>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</si>
  <si>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</si>
  <si>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</si>
  <si>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</si>
  <si>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</si>
  <si>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</si>
  <si>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</si>
  <si>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</si>
  <si>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</si>
  <si>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</si>
  <si>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</si>
  <si>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</si>
  <si>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</si>
  <si>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</si>
  <si>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</si>
  <si>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</si>
  <si>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</si>
  <si>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</si>
  <si>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</si>
  <si>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</si>
  <si>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</si>
  <si>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</si>
  <si>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</si>
  <si>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</si>
  <si>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</si>
  <si>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</si>
  <si>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</si>
  <si>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</si>
  <si>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</si>
  <si>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</si>
  <si>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</si>
  <si>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</si>
  <si>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</si>
  <si>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</si>
  <si>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</si>
  <si>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</si>
  <si>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</si>
  <si>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</si>
  <si>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</si>
  <si>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</si>
  <si>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</si>
  <si>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</si>
  <si>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</si>
  <si>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</si>
  <si>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</si>
  <si>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</si>
  <si>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</si>
  <si>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</si>
  <si>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</si>
  <si>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</si>
  <si>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</si>
  <si>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</si>
  <si>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</si>
  <si>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</si>
  <si>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</si>
  <si>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</si>
  <si>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</si>
  <si>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</si>
  <si>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</si>
  <si>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</si>
  <si>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</si>
  <si>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</si>
  <si>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</si>
  <si>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</si>
  <si>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</si>
  <si>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</si>
  <si>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</si>
  <si>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</si>
  <si>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</si>
  <si>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</si>
  <si>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</si>
  <si>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</si>
  <si>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</si>
  <si>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</si>
  <si>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</si>
  <si>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</si>
  <si>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</si>
  <si>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</si>
  <si>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</si>
  <si>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</si>
  <si>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</si>
  <si>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</si>
  <si>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</si>
  <si>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</si>
  <si>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</si>
  <si>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</si>
  <si>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</si>
  <si>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</si>
  <si>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</si>
  <si>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</si>
  <si>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</si>
  <si>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</si>
  <si>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</si>
  <si>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</si>
  <si>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</si>
  <si>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</si>
  <si>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</si>
  <si>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</si>
  <si>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</si>
  <si>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</si>
  <si>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</si>
  <si>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</si>
  <si>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</si>
  <si>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</si>
  <si>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</si>
  <si>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</si>
  <si>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</si>
  <si>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</si>
  <si>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</si>
  <si>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</si>
  <si>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</si>
  <si>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</si>
  <si>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</si>
  <si>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</si>
  <si>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</si>
  <si>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</si>
  <si>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</si>
  <si>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</si>
  <si>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</si>
  <si>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</si>
  <si>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</si>
  <si>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</si>
  <si>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</si>
  <si>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</si>
  <si>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</si>
  <si>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</si>
  <si>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</si>
  <si>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</si>
  <si>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</si>
  <si>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</si>
  <si>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</si>
  <si>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</si>
  <si>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</si>
  <si>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</si>
  <si>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</si>
  <si>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</si>
  <si>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</si>
  <si>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</si>
  <si>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</si>
  <si>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</si>
  <si>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</si>
  <si>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</si>
  <si>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</si>
  <si>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</si>
  <si>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</si>
  <si>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</si>
  <si>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</si>
  <si>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</si>
  <si>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</si>
  <si>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</si>
  <si>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</si>
  <si>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</si>
  <si>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</si>
  <si>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</si>
  <si>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</si>
  <si>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</si>
  <si>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</si>
  <si>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</si>
  <si>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</si>
  <si>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</si>
  <si>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</si>
  <si>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</si>
  <si>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</si>
  <si>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</si>
  <si>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</si>
  <si>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</si>
  <si>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</si>
  <si>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</si>
  <si>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</si>
  <si>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</si>
  <si>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</si>
  <si>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</si>
  <si>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</si>
  <si>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</si>
  <si>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</si>
  <si>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</si>
  <si>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</si>
  <si>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</si>
  <si>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</si>
  <si>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</si>
  <si>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</si>
  <si>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</si>
  <si>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</si>
  <si>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</si>
  <si>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</si>
  <si>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</si>
  <si>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</si>
  <si>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</si>
  <si>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</si>
  <si>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</si>
  <si>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</si>
  <si>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</si>
  <si>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</si>
  <si>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</si>
  <si>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</si>
  <si>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</si>
  <si>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</si>
  <si>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</si>
  <si>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</si>
  <si>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</si>
  <si>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</si>
  <si>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</si>
  <si>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</si>
  <si>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</si>
  <si>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</si>
  <si>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</si>
  <si>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</si>
  <si>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</si>
  <si>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</si>
  <si>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</si>
  <si>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</si>
  <si>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</si>
  <si>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</si>
  <si>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</si>
  <si>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</si>
  <si>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</si>
  <si>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</si>
  <si>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</si>
  <si>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</si>
  <si>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</si>
  <si>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</si>
  <si>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</si>
  <si>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</si>
  <si>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</si>
  <si>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</si>
  <si>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</si>
  <si>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</si>
  <si>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</si>
  <si>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</si>
  <si>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</si>
  <si>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</si>
  <si>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</si>
  <si>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</si>
  <si>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</si>
  <si>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</si>
  <si>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</si>
  <si>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</si>
  <si>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</si>
  <si>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</si>
  <si>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</si>
  <si>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</si>
  <si>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</si>
  <si>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</si>
  <si>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</si>
  <si>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</si>
  <si>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</si>
  <si>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</si>
  <si>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</si>
  <si>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</si>
  <si>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</si>
  <si>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</si>
  <si>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</si>
  <si>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</si>
  <si>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</si>
  <si>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</si>
  <si>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</si>
  <si>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</si>
  <si>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</si>
  <si>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</si>
  <si>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</si>
  <si>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</si>
  <si>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</si>
  <si>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</si>
  <si>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</si>
  <si>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</si>
  <si>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</si>
  <si>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</si>
  <si>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</si>
  <si>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</si>
  <si>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</si>
  <si>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</si>
  <si>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</si>
  <si>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</si>
  <si>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</si>
  <si>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</si>
  <si>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</si>
  <si>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</si>
  <si>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</si>
  <si>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</si>
  <si>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</si>
  <si>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</si>
  <si>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</si>
  <si>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</si>
  <si>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</si>
  <si>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</si>
  <si>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</si>
  <si>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</si>
  <si>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</si>
  <si>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</si>
  <si>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</si>
  <si>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</si>
  <si>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</si>
  <si>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</si>
  <si>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</si>
  <si>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</si>
  <si>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</si>
  <si>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</si>
  <si>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</si>
  <si>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</si>
  <si>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</si>
  <si>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</si>
  <si>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</si>
  <si>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</si>
  <si>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</si>
  <si>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</si>
  <si>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</si>
  <si>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</si>
  <si>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</si>
  <si>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</si>
  <si>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</si>
  <si>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</si>
  <si>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</si>
  <si>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</si>
  <si>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</si>
  <si>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</si>
  <si>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</si>
  <si>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</si>
  <si>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</si>
  <si>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</si>
  <si>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</si>
  <si>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</si>
  <si>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</si>
  <si>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</si>
  <si>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</si>
  <si>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</si>
  <si>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</si>
  <si>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</si>
  <si>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</si>
  <si>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</si>
  <si>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</si>
  <si>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</si>
  <si>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</si>
  <si>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</si>
  <si>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</si>
  <si>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</si>
  <si>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</si>
  <si>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</si>
  <si>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</si>
  <si>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</si>
  <si>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</si>
  <si>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</si>
  <si>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</si>
  <si>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</si>
  <si>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</si>
  <si>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</si>
  <si>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</si>
  <si>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</si>
  <si>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</si>
  <si>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</si>
  <si>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</si>
  <si>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</si>
  <si>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</si>
  <si>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</si>
  <si>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</si>
  <si>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</si>
  <si>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</si>
  <si>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</si>
  <si>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</si>
  <si>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</si>
  <si>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</si>
  <si>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</si>
  <si>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</si>
  <si>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</si>
  <si>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</si>
  <si>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</si>
  <si>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</si>
  <si>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</si>
  <si>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</si>
  <si>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</si>
  <si>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</si>
  <si>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</si>
  <si>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</si>
  <si>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</si>
  <si>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</si>
  <si>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</si>
  <si>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</si>
  <si>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</si>
  <si>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</si>
  <si>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</si>
  <si>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</si>
  <si>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</si>
  <si>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</si>
  <si>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</si>
  <si>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</si>
  <si>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</si>
  <si>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</si>
  <si>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</si>
  <si>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</si>
  <si>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</si>
  <si>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</si>
  <si>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</si>
  <si>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</si>
  <si>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</si>
  <si>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</si>
  <si>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</si>
  <si>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</si>
  <si>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</si>
  <si>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</si>
  <si>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</si>
  <si>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</si>
  <si>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</si>
  <si>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</si>
  <si>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</si>
  <si>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</si>
  <si>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</si>
  <si>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</si>
  <si>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</si>
  <si>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</si>
  <si>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</si>
  <si>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</si>
  <si>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</si>
  <si>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</si>
  <si>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</si>
  <si>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</si>
  <si>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</si>
  <si>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</si>
  <si>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</si>
  <si>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</si>
  <si>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</si>
  <si>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</si>
  <si>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</si>
  <si>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</si>
  <si>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</si>
  <si>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</si>
  <si>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</si>
  <si>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</si>
  <si>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</si>
  <si>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</si>
  <si>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</si>
  <si>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</si>
  <si>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</si>
  <si>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</si>
  <si>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</si>
  <si>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</si>
  <si>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</si>
  <si>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</si>
  <si>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</si>
  <si>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</si>
  <si>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</si>
  <si>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</si>
  <si>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</si>
  <si>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</si>
  <si>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</si>
  <si>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</si>
  <si>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</si>
  <si>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</si>
  <si>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</si>
  <si>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</si>
  <si>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</si>
  <si>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</si>
  <si>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</si>
  <si>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</si>
  <si>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</si>
  <si>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</si>
  <si>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</si>
  <si>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</si>
  <si>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</si>
  <si>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</si>
  <si>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</si>
  <si>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</si>
  <si>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</si>
  <si>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</si>
  <si>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</si>
  <si>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</si>
  <si>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</si>
  <si>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</si>
  <si>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</si>
  <si>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</si>
  <si>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</si>
  <si>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</si>
  <si>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</si>
  <si>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</si>
  <si>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</si>
  <si>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</si>
  <si>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</si>
  <si>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</si>
  <si>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</si>
  <si>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</si>
  <si>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</si>
  <si>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</si>
  <si>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</si>
  <si>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</si>
  <si>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</si>
  <si>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</si>
  <si>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</si>
  <si>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</si>
  <si>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</si>
  <si>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</si>
  <si>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</si>
  <si>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</si>
  <si>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</si>
  <si>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</si>
  <si>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</si>
  <si>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</si>
  <si>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</si>
  <si>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</si>
  <si>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</si>
  <si>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</si>
  <si>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</si>
  <si>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</si>
  <si>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</si>
  <si>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</si>
  <si>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</si>
  <si>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</si>
  <si>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</si>
  <si>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</si>
  <si>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</si>
  <si>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</si>
  <si>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</si>
  <si>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</si>
  <si>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</si>
  <si>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</si>
  <si>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</si>
  <si>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</si>
  <si>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</si>
  <si>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</si>
  <si>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</si>
  <si>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</si>
  <si>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</si>
  <si>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</si>
  <si>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</si>
  <si>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</si>
  <si>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</si>
  <si>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</si>
  <si>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</si>
  <si>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</si>
  <si>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</si>
  <si>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</si>
  <si>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</si>
  <si>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</si>
  <si>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</si>
  <si>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</si>
  <si>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</si>
  <si>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</si>
  <si>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</si>
  <si>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</si>
  <si>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</si>
  <si>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</si>
  <si>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</si>
  <si>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</si>
  <si>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</si>
  <si>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</si>
  <si>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</si>
  <si>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</si>
  <si>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</si>
  <si>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</si>
  <si>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</si>
  <si>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</si>
  <si>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</si>
  <si>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</si>
  <si>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</si>
  <si>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</si>
  <si>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</si>
  <si>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</si>
  <si>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</si>
  <si>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</si>
  <si>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</si>
  <si>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</si>
  <si>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</si>
  <si>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</si>
  <si>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</si>
  <si>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</si>
  <si>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</si>
  <si>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</si>
  <si>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</si>
  <si>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</si>
  <si>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</si>
  <si>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</si>
  <si>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</si>
  <si>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</si>
  <si>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</si>
  <si>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</si>
  <si>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</si>
  <si>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</si>
  <si>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</si>
  <si>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</si>
  <si>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</si>
  <si>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</si>
  <si>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</si>
  <si>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</si>
  <si>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</si>
  <si>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</si>
  <si>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</si>
  <si>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</si>
  <si>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</si>
  <si>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</si>
  <si>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</si>
  <si>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</si>
  <si>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</si>
  <si>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</si>
  <si>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</si>
  <si>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</si>
  <si>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</si>
  <si>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</si>
  <si>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</si>
  <si>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</si>
  <si>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</si>
  <si>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</si>
  <si>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</si>
  <si>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</si>
  <si>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</si>
  <si>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</si>
  <si>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</si>
  <si>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</si>
  <si>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</si>
  <si>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</si>
  <si>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</si>
  <si>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</si>
  <si>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</si>
  <si>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</si>
  <si>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</si>
  <si>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</si>
  <si>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</si>
  <si>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</si>
  <si>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</si>
  <si>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</si>
  <si>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</si>
  <si>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</si>
  <si>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</si>
  <si>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</si>
  <si>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</si>
  <si>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</si>
  <si>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</si>
  <si>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</si>
  <si>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</si>
  <si>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</si>
  <si>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</si>
  <si>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</si>
  <si>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</si>
  <si>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</si>
  <si>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</si>
  <si>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</si>
  <si>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</si>
  <si>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</si>
  <si>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</si>
  <si>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</si>
  <si>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</si>
  <si>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</si>
  <si>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</si>
  <si>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</si>
  <si>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</si>
  <si>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</si>
  <si>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</si>
  <si>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</si>
  <si>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</si>
  <si>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</si>
  <si>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</si>
  <si>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</si>
  <si>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</si>
  <si>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</si>
  <si>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</si>
  <si>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</si>
  <si>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</si>
  <si>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</si>
  <si>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</si>
  <si>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</si>
  <si>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</si>
  <si>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</si>
  <si>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</si>
  <si>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</si>
  <si>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</si>
  <si>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</si>
  <si>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</si>
  <si>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</si>
  <si>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</si>
  <si>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</si>
  <si>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</si>
  <si>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</si>
  <si>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</si>
  <si>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</si>
  <si>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</si>
  <si>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</si>
  <si>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</si>
  <si>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</si>
  <si>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</si>
  <si>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</si>
  <si>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</si>
  <si>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</si>
  <si>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</si>
  <si>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</si>
  <si>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</si>
  <si>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</si>
  <si>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</si>
  <si>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</si>
  <si>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</si>
  <si>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</si>
  <si>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</si>
  <si>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</si>
  <si>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</si>
  <si>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</si>
  <si>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</si>
  <si>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</si>
  <si>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</si>
  <si>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</si>
  <si>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</si>
  <si>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</si>
  <si>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</si>
  <si>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</si>
  <si>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</si>
  <si>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</si>
  <si>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</si>
  <si>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</si>
  <si>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</si>
  <si>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</si>
  <si>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</si>
  <si>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</si>
  <si>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</si>
  <si>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</si>
  <si>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</si>
  <si>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</si>
  <si>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</si>
  <si>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</si>
  <si>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</si>
  <si>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</si>
  <si>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</si>
  <si>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</si>
  <si>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</si>
  <si>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</si>
  <si>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</si>
  <si>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</si>
  <si>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</si>
  <si>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</si>
  <si>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</si>
  <si>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</si>
  <si>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</si>
  <si>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</si>
  <si>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</si>
  <si>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</si>
  <si>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</si>
  <si>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</si>
  <si>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</si>
  <si>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</si>
  <si>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</si>
  <si>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</si>
  <si>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</si>
  <si>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</si>
  <si>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</si>
  <si>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</si>
  <si>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</si>
  <si>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</si>
  <si>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</si>
  <si>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</si>
  <si>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</si>
  <si>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</si>
  <si>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</si>
  <si>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</si>
  <si>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</si>
  <si>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</si>
  <si>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</si>
  <si>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</si>
  <si>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</si>
  <si>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</si>
  <si>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</si>
  <si>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</si>
  <si>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</si>
  <si>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</si>
  <si>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</si>
  <si>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</si>
  <si>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</si>
  <si>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</si>
  <si>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</si>
  <si>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</si>
  <si>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</si>
  <si>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</si>
  <si>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</si>
  <si>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</si>
  <si>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</si>
  <si>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</si>
  <si>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</si>
  <si>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</si>
  <si>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</si>
  <si>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</si>
  <si>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</si>
  <si>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</si>
  <si>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</si>
  <si>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</si>
  <si>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</si>
  <si>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</si>
  <si>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</si>
  <si>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</si>
  <si>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</si>
  <si>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</si>
  <si>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</si>
  <si>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</si>
  <si>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</si>
  <si>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</si>
  <si>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</si>
  <si>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</si>
  <si>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</si>
  <si>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</si>
  <si>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</si>
  <si>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</si>
  <si>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</si>
  <si>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</si>
  <si>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</si>
  <si>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</si>
  <si>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</si>
  <si>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</si>
  <si>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</si>
  <si>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</si>
  <si>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</si>
  <si>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</si>
  <si>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</si>
  <si>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</si>
  <si>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</si>
  <si>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</si>
  <si>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</si>
  <si>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</si>
  <si>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</si>
  <si>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</si>
  <si>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</si>
  <si>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</si>
  <si>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</si>
  <si>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</si>
  <si>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</si>
  <si>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</si>
  <si>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</si>
  <si>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</si>
  <si>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</si>
  <si>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</si>
  <si>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</si>
  <si>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</si>
  <si>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</si>
  <si>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</si>
  <si>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</si>
  <si>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</si>
  <si>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</si>
  <si>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</si>
  <si>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</si>
  <si>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</si>
  <si>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</si>
  <si>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</si>
  <si>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</si>
  <si>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</si>
  <si>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</si>
  <si>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</si>
  <si>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</si>
  <si>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</si>
  <si>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</si>
  <si>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</si>
  <si>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</si>
  <si>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</si>
  <si>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</si>
  <si>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</si>
  <si>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</si>
  <si>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</si>
  <si>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</si>
  <si>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</si>
  <si>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</si>
  <si>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</si>
  <si>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</si>
  <si>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</si>
  <si>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</si>
  <si>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</si>
  <si>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</si>
  <si>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</si>
  <si>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</si>
  <si>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</si>
  <si>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</si>
  <si>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</si>
  <si>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</si>
  <si>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</si>
  <si>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</si>
  <si>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</si>
  <si>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</si>
  <si>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</si>
  <si>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</si>
  <si>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</si>
  <si>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</si>
  <si>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</si>
  <si>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</si>
  <si>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</si>
  <si>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</si>
  <si>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</si>
  <si>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</si>
  <si>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</si>
  <si>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</si>
  <si>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</si>
  <si>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</si>
  <si>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</si>
  <si>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</si>
  <si>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</si>
  <si>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</si>
  <si>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</si>
  <si>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</si>
  <si>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</si>
  <si>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</si>
  <si>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</si>
  <si>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</si>
  <si>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</si>
  <si>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</si>
  <si>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</si>
  <si>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</si>
  <si>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</si>
  <si>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</si>
  <si>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</si>
  <si>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</si>
  <si>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</si>
  <si>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</si>
  <si>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</si>
  <si>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</si>
  <si>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</si>
  <si>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</si>
  <si>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</si>
  <si>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</si>
  <si>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</si>
  <si>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</si>
  <si>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</si>
  <si>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</si>
  <si>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</si>
  <si>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</si>
  <si>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</si>
  <si>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</si>
  <si>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</si>
  <si>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</si>
  <si>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</si>
  <si>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</si>
  <si>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</si>
  <si>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</si>
  <si>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</si>
  <si>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</si>
  <si>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</si>
  <si>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</si>
  <si>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</si>
  <si>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</si>
  <si>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</si>
  <si>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</si>
  <si>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</si>
  <si>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</si>
  <si>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</si>
  <si>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</si>
  <si>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</si>
  <si>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</si>
  <si>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</si>
  <si>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</si>
  <si>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</si>
  <si>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</si>
  <si>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</si>
  <si>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</si>
  <si>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</si>
  <si>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</si>
  <si>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</si>
  <si>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</si>
  <si>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</si>
  <si>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</si>
  <si>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</si>
  <si>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</si>
  <si>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</si>
  <si>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</si>
  <si>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</si>
  <si>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</si>
  <si>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</si>
  <si>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</si>
  <si>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</si>
  <si>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</si>
  <si>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</si>
  <si>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</si>
  <si>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</si>
  <si>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</si>
  <si>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</si>
  <si>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</si>
  <si>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</si>
  <si>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</si>
  <si>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</si>
  <si>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</si>
  <si>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</si>
  <si>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</si>
  <si>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</si>
  <si>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</si>
  <si>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</si>
  <si>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</si>
  <si>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</si>
  <si>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</si>
  <si>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</si>
  <si>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</si>
  <si>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</si>
  <si>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</si>
  <si>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</si>
  <si>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</si>
  <si>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</si>
  <si>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</si>
  <si>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</si>
  <si>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</si>
  <si>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</si>
  <si>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</si>
  <si>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</si>
  <si>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</si>
  <si>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</si>
  <si>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</si>
  <si>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</si>
  <si>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</si>
  <si>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</si>
  <si>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</si>
  <si>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</si>
  <si>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</si>
  <si>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</si>
  <si>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</si>
  <si>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</si>
  <si>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</si>
  <si>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</si>
  <si>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</si>
  <si>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</si>
  <si>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</si>
  <si>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</si>
  <si>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</si>
  <si>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</si>
  <si>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</si>
  <si>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</si>
  <si>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</si>
  <si>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</si>
  <si>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</si>
  <si>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</si>
  <si>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</si>
  <si>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</si>
  <si>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</si>
  <si>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</si>
  <si>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</si>
  <si>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</si>
  <si>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</si>
  <si>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</si>
  <si>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</si>
  <si>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</si>
  <si>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</si>
  <si>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</si>
  <si>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</si>
  <si>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</si>
  <si>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</si>
  <si>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</si>
  <si>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</si>
  <si>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</si>
  <si>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</si>
  <si>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</si>
  <si>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</si>
  <si>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</si>
  <si>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</si>
  <si>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</si>
  <si>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</si>
  <si>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</si>
  <si>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</si>
  <si>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</si>
  <si>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</si>
  <si>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</si>
  <si>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</si>
  <si>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</si>
  <si>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</si>
  <si>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</si>
  <si>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</si>
  <si>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</si>
  <si>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</si>
  <si>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</si>
  <si>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</si>
  <si>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</si>
  <si>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</si>
  <si>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</si>
  <si>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</si>
  <si>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</si>
  <si>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</si>
  <si>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</si>
  <si>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</si>
  <si>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</si>
  <si>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</si>
  <si>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</si>
  <si>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</si>
  <si>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</si>
  <si>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</si>
  <si>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</si>
  <si>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</si>
  <si>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</si>
  <si>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</si>
  <si>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</si>
  <si>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</si>
  <si>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</si>
  <si>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</si>
  <si>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</si>
  <si>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</si>
  <si>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</si>
  <si>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</si>
  <si>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</si>
  <si>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</si>
  <si>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</si>
  <si>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</si>
  <si>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</si>
  <si>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</si>
  <si>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</si>
  <si>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</si>
  <si>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</si>
  <si>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</si>
  <si>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</si>
  <si>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</si>
  <si>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</si>
  <si>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</si>
  <si>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</si>
  <si>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</si>
  <si>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</si>
  <si>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</si>
  <si>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</si>
  <si>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</si>
  <si>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</si>
  <si>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</si>
  <si>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</si>
  <si>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</si>
  <si>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</si>
  <si>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</si>
  <si>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</si>
  <si>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</si>
  <si>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</si>
  <si>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</si>
  <si>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</si>
  <si>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</si>
  <si>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</si>
  <si>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</si>
  <si>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</si>
  <si>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</si>
  <si>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</si>
  <si>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</si>
  <si>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</si>
  <si>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</si>
  <si>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</si>
  <si>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</si>
  <si>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</si>
  <si>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</si>
  <si>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</si>
  <si>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</si>
  <si>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</si>
  <si>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</si>
  <si>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</si>
  <si>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</si>
  <si>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</si>
  <si>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</si>
  <si>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</si>
  <si>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</si>
  <si>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</si>
  <si>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</si>
  <si>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</si>
  <si>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</si>
  <si>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</si>
  <si>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</si>
  <si>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</si>
  <si>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</si>
  <si>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</si>
  <si>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</si>
  <si>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</si>
  <si>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</si>
  <si>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</si>
  <si>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</si>
  <si>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</si>
  <si>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</si>
  <si>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</si>
  <si>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</si>
  <si>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</si>
  <si>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</si>
  <si>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</si>
  <si>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</si>
  <si>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</si>
  <si>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</si>
  <si>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</si>
  <si>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</si>
  <si>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</si>
  <si>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</si>
  <si>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</si>
  <si>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</si>
  <si>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</si>
  <si>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</si>
  <si>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</si>
  <si>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</si>
  <si>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</si>
  <si>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</si>
  <si>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</si>
  <si>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</si>
  <si>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</si>
  <si>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</si>
  <si>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</si>
  <si>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</si>
  <si>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</si>
  <si>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</si>
  <si>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</si>
  <si>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</si>
  <si>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</si>
  <si>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</si>
  <si>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</si>
  <si>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</si>
  <si>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</si>
  <si>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</si>
  <si>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</si>
  <si>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</si>
  <si>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</si>
  <si>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</si>
  <si>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</si>
  <si>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</si>
  <si>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</si>
  <si>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</si>
  <si>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</si>
  <si>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</si>
  <si>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</si>
  <si>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</si>
  <si>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</si>
  <si>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</si>
  <si>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</si>
  <si>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</si>
  <si>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</si>
  <si>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</si>
  <si>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</si>
  <si>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</si>
  <si>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</si>
  <si>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</si>
  <si>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</si>
  <si>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</si>
  <si>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</si>
  <si>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</si>
  <si>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</si>
  <si>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</si>
  <si>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</si>
  <si>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</si>
  <si>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</si>
  <si>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</si>
  <si>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</si>
  <si>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</si>
  <si>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</si>
  <si>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</si>
  <si>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</si>
  <si>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</si>
  <si>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</si>
  <si>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</si>
  <si>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</si>
  <si>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</si>
  <si>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</si>
  <si>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</si>
  <si>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</si>
  <si>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</si>
  <si>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</si>
  <si>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</si>
  <si>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</si>
  <si>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</si>
  <si>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</si>
  <si>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</si>
  <si>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</si>
  <si>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</si>
  <si>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</si>
  <si>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</si>
  <si>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</si>
  <si>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</si>
  <si>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</si>
  <si>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</si>
  <si>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</si>
  <si>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</si>
  <si>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</si>
  <si>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</si>
  <si>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</si>
  <si>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</si>
  <si>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</si>
  <si>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</si>
  <si>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</si>
  <si>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</si>
  <si>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</si>
  <si>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</si>
  <si>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</si>
  <si>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</si>
  <si>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</si>
  <si>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</si>
  <si>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</si>
  <si>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</si>
  <si>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</si>
  <si>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</si>
  <si>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</si>
  <si>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</si>
  <si>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</si>
  <si>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</si>
  <si>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</si>
  <si>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</si>
  <si>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</si>
  <si>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</si>
  <si>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</si>
  <si>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</si>
  <si>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</si>
  <si>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</si>
  <si>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</si>
  <si>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</si>
  <si>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</si>
  <si>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</si>
  <si>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</si>
  <si>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</si>
  <si>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</si>
  <si>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</si>
  <si>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</si>
  <si>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</si>
  <si>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</si>
  <si>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</si>
  <si>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</si>
  <si>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</si>
  <si>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</si>
  <si>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</si>
  <si>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</si>
  <si>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</si>
  <si>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</si>
  <si>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</si>
  <si>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</si>
  <si>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</si>
  <si>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</si>
  <si>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</si>
  <si>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</si>
  <si>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</si>
  <si>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</si>
  <si>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</si>
  <si>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</si>
  <si>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</si>
  <si>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</si>
  <si>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</si>
  <si>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</si>
  <si>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</si>
  <si>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</si>
  <si>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</si>
  <si>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</si>
  <si>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</si>
  <si>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</si>
  <si>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</si>
  <si>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</si>
  <si>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</si>
  <si>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</si>
  <si>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</si>
  <si>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</si>
  <si>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</si>
  <si>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</si>
  <si>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</si>
  <si>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</si>
  <si>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</si>
  <si>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</si>
  <si>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</si>
  <si>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</si>
  <si>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</si>
  <si>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</si>
  <si>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</si>
  <si>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</si>
  <si>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</si>
  <si>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</si>
  <si>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</si>
  <si>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</si>
  <si>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</si>
  <si>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</si>
  <si>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</si>
  <si>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</si>
  <si>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</si>
  <si>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</si>
  <si>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</si>
  <si>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</si>
  <si>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</si>
  <si>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</si>
  <si>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</si>
  <si>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</si>
  <si>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</si>
  <si>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</si>
  <si>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</si>
  <si>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</si>
  <si>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</si>
  <si>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</si>
  <si>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</si>
  <si>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</si>
  <si>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</si>
  <si>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</si>
  <si>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</si>
  <si>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</si>
  <si>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</si>
  <si>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</si>
  <si>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</si>
  <si>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</si>
  <si>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</si>
  <si>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</si>
  <si>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</si>
  <si>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</si>
  <si>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</si>
  <si>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</si>
  <si>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</si>
  <si>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</si>
  <si>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</si>
  <si>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</si>
  <si>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</si>
  <si>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</si>
  <si>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</si>
  <si>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</si>
  <si>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</si>
  <si>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</si>
  <si>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</si>
  <si>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</si>
  <si>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</si>
  <si>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</si>
  <si>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</si>
  <si>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</si>
  <si>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</si>
  <si>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</si>
  <si>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</si>
  <si>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</si>
  <si>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</si>
  <si>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</si>
  <si>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</si>
  <si>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</si>
  <si>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</si>
  <si>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</si>
  <si>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</si>
  <si>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</si>
  <si>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</si>
  <si>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</si>
  <si>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</si>
  <si>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</si>
  <si>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</si>
  <si>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</si>
  <si>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</si>
  <si>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</si>
  <si>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</si>
  <si>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</si>
  <si>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</si>
  <si>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</si>
  <si>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</si>
  <si>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</si>
  <si>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</si>
  <si>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</si>
  <si>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</si>
  <si>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</si>
  <si>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</si>
  <si>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</si>
  <si>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</si>
  <si>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</si>
  <si>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</si>
  <si>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</si>
  <si>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</si>
  <si>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</si>
  <si>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</si>
  <si>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</si>
  <si>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</si>
  <si>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</si>
  <si>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</si>
  <si>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</si>
  <si>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</si>
  <si>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</si>
  <si>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</si>
  <si>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</si>
  <si>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</si>
  <si>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</si>
  <si>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</si>
  <si>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</si>
  <si>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</si>
  <si>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</si>
  <si>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</si>
  <si>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</si>
  <si>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</si>
  <si>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</si>
  <si>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</si>
  <si>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</si>
  <si>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</si>
  <si>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</si>
  <si>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</si>
  <si>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</si>
  <si>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</si>
  <si>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</si>
  <si>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</si>
  <si>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</si>
  <si>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</si>
  <si>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</si>
  <si>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</si>
  <si>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</si>
  <si>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</si>
  <si>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</si>
  <si>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</si>
  <si>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</si>
  <si>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</si>
  <si>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</si>
  <si>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</si>
  <si>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</si>
  <si>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</si>
  <si>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</si>
  <si>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</si>
  <si>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</si>
  <si>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</si>
  <si>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</si>
  <si>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</si>
  <si>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</si>
  <si>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</si>
  <si>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</si>
  <si>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</si>
  <si>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</si>
  <si>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</si>
  <si>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</si>
  <si>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</si>
  <si>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</si>
  <si>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</si>
  <si>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</si>
  <si>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</si>
  <si>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</si>
  <si>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</si>
  <si>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</si>
  <si>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</si>
  <si>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</si>
  <si>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</si>
  <si>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</si>
  <si>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</si>
  <si>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</si>
  <si>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</si>
  <si>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</si>
  <si>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</si>
  <si>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</si>
  <si>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</si>
  <si>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</si>
  <si>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</si>
  <si>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</si>
  <si>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</si>
  <si>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</si>
  <si>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</si>
  <si>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</si>
  <si>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</si>
  <si>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</si>
  <si>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</si>
  <si>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</si>
  <si>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</si>
  <si>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</si>
  <si>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</si>
  <si>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</si>
  <si>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</si>
  <si>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</si>
  <si>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</si>
  <si>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</si>
  <si>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</si>
  <si>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</si>
  <si>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</si>
  <si>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</si>
  <si>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</si>
  <si>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</si>
  <si>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</si>
  <si>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</si>
  <si>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</si>
  <si>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</si>
  <si>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</si>
  <si>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</si>
  <si>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</si>
  <si>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</si>
  <si>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</si>
  <si>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</si>
  <si>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</si>
  <si>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</si>
  <si>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</si>
  <si>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</si>
  <si>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</si>
  <si>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</si>
  <si>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</si>
  <si>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</si>
  <si>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</si>
  <si>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</si>
  <si>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</si>
  <si>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</si>
  <si>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</si>
  <si>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</si>
  <si>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</si>
  <si>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</si>
  <si>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</si>
  <si>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</si>
  <si>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</si>
  <si>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</si>
  <si>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</si>
  <si>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</si>
  <si>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</si>
  <si>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</si>
  <si>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</si>
  <si>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</si>
  <si>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</si>
  <si>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</si>
  <si>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</si>
  <si>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</si>
  <si>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</si>
  <si>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</si>
  <si>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</si>
  <si>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</si>
  <si>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</si>
  <si>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</si>
  <si>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</si>
  <si>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</si>
  <si>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</si>
  <si>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</si>
  <si>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</si>
  <si>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</si>
  <si>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</si>
  <si>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</si>
  <si>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</si>
  <si>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</si>
  <si>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</si>
  <si>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</si>
  <si>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</si>
  <si>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</si>
  <si>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</si>
  <si>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</si>
  <si>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</si>
  <si>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</si>
  <si>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</si>
  <si>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</si>
  <si>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</si>
  <si>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</si>
  <si>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</si>
  <si>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</si>
  <si>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</si>
  <si>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</si>
  <si>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</si>
  <si>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</si>
  <si>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</si>
  <si>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</si>
  <si>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</si>
  <si>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</si>
  <si>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</si>
  <si>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</si>
  <si>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</si>
  <si>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</si>
  <si>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</si>
  <si>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</si>
  <si>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</si>
  <si>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</si>
  <si>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</si>
  <si>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</si>
  <si>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</si>
  <si>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</si>
  <si>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</si>
  <si>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</si>
  <si>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</si>
  <si>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</si>
  <si>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</si>
  <si>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</si>
  <si>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</si>
  <si>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</si>
  <si>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</si>
  <si>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</si>
  <si>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</si>
  <si>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</si>
  <si>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</si>
  <si>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</si>
  <si>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</si>
  <si>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</si>
  <si>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</si>
  <si>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</si>
  <si>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</si>
  <si>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</si>
  <si>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</si>
  <si>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</si>
  <si>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</si>
  <si>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</si>
  <si>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</si>
  <si>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</si>
  <si>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</si>
  <si>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</si>
  <si>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</si>
  <si>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</si>
  <si>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</si>
  <si>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</si>
  <si>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</si>
  <si>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</si>
  <si>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</si>
  <si>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</si>
  <si>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</si>
  <si>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</si>
  <si>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</si>
  <si>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</si>
  <si>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</si>
  <si>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</si>
  <si>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</si>
  <si>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</si>
  <si>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</si>
  <si>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</si>
  <si>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</si>
  <si>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</si>
  <si>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</si>
  <si>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</si>
  <si>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</si>
  <si>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</si>
  <si>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</si>
  <si>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</si>
  <si>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</si>
  <si>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</si>
  <si>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</si>
  <si>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</si>
  <si>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</si>
  <si>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</si>
  <si>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</si>
  <si>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</si>
  <si>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</si>
  <si>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</si>
  <si>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</si>
  <si>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</si>
  <si>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</si>
  <si>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</si>
  <si>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</si>
  <si>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</si>
  <si>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</si>
  <si>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</si>
  <si>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</si>
  <si>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</si>
  <si>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</si>
  <si>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</si>
  <si>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</si>
  <si>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</si>
  <si>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</si>
  <si>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</si>
  <si>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</si>
  <si>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</si>
  <si>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</si>
  <si>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</si>
  <si>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</si>
  <si>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</si>
  <si>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</si>
  <si>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</si>
  <si>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</si>
  <si>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</si>
  <si>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</si>
  <si>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</si>
  <si>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</si>
  <si>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</si>
  <si>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</si>
  <si>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</si>
  <si>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</si>
  <si>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</si>
  <si>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</si>
  <si>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</si>
  <si>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</si>
  <si>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</si>
  <si>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</si>
  <si>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</si>
  <si>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</si>
  <si>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</si>
  <si>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</si>
  <si>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</si>
  <si>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</si>
  <si>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</si>
  <si>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</si>
  <si>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</si>
  <si>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</si>
  <si>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</si>
  <si>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</si>
  <si>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</si>
  <si>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</si>
  <si>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</si>
  <si>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</si>
  <si>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</si>
  <si>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</si>
  <si>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</si>
  <si>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</si>
  <si>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</si>
  <si>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</si>
  <si>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</si>
  <si>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</si>
  <si>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</si>
  <si>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</si>
  <si>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</si>
  <si>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</si>
  <si>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</si>
  <si>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</si>
  <si>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</si>
  <si>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</si>
  <si>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</si>
  <si>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</si>
  <si>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</si>
  <si>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</si>
  <si>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</si>
  <si>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</si>
  <si>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</si>
  <si>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</si>
  <si>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</si>
  <si>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</si>
  <si>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</si>
  <si>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</si>
  <si>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</si>
  <si>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</si>
  <si>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</si>
  <si>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</si>
  <si>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</si>
  <si>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</si>
  <si>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</si>
  <si>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</si>
  <si>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</si>
  <si>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</si>
  <si>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</si>
  <si>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</si>
  <si>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</si>
  <si>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</si>
  <si>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</si>
  <si>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</si>
  <si>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</si>
  <si>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</si>
  <si>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</si>
  <si>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</si>
  <si>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</si>
  <si>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</si>
  <si>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</si>
  <si>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</si>
  <si>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</si>
  <si>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</si>
  <si>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</si>
  <si>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</si>
  <si>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</si>
  <si>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</si>
  <si>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</si>
  <si>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</si>
  <si>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</si>
  <si>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</si>
  <si>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</si>
  <si>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</si>
  <si>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</si>
  <si>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</si>
  <si>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</si>
  <si>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</si>
  <si>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</si>
  <si>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</si>
  <si>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</si>
  <si>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</si>
  <si>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</si>
  <si>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</si>
  <si>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</si>
  <si>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</si>
  <si>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</si>
  <si>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</si>
  <si>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</si>
  <si>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</si>
  <si>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</si>
  <si>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</si>
  <si>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</si>
  <si>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</si>
  <si>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</si>
  <si>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</si>
  <si>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</si>
  <si>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</si>
  <si>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</si>
  <si>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</si>
  <si>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</si>
  <si>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</si>
  <si>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</si>
  <si>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</si>
  <si>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</si>
  <si>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</si>
  <si>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</si>
  <si>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</si>
  <si>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</si>
  <si>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</si>
  <si>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</si>
  <si>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</si>
  <si>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</si>
  <si>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</si>
  <si>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</si>
  <si>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</si>
  <si>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</si>
  <si>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</si>
  <si>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</si>
  <si>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</si>
  <si>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</si>
  <si>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</si>
  <si>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</si>
  <si>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</si>
  <si>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</si>
  <si>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</si>
  <si>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</si>
  <si>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</si>
  <si>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</si>
  <si>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</si>
  <si>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</si>
  <si>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</si>
  <si>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</si>
  <si>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</si>
  <si>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</si>
  <si>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</si>
  <si>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</si>
  <si>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</si>
  <si>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</si>
  <si>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</si>
  <si>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</si>
  <si>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</si>
  <si>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</si>
  <si>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</si>
  <si>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</si>
  <si>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</si>
  <si>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</si>
  <si>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</si>
  <si>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</si>
  <si>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</si>
  <si>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</si>
  <si>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</si>
  <si>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</si>
  <si>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</si>
  <si>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</si>
  <si>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</si>
  <si>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</si>
  <si>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</si>
  <si>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</si>
  <si>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</si>
  <si>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</si>
  <si>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</si>
  <si>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</si>
  <si>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</si>
  <si>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</si>
  <si>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</si>
  <si>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</si>
  <si>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</si>
  <si>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</si>
  <si>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</si>
  <si>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</si>
  <si>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</si>
  <si>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</si>
  <si>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</si>
  <si>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</si>
  <si>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</si>
  <si>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</si>
  <si>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</si>
  <si>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</si>
  <si>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</si>
  <si>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</si>
  <si>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</si>
  <si>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</si>
  <si>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</si>
  <si>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</si>
  <si>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</si>
  <si>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</si>
  <si>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</si>
  <si>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</si>
  <si>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</si>
  <si>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</si>
  <si>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</si>
  <si>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</si>
  <si>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</si>
  <si>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</si>
  <si>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</si>
  <si>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</si>
  <si>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</si>
  <si>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</si>
  <si>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</si>
  <si>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</si>
  <si>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</si>
  <si>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</si>
  <si>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</si>
  <si>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</si>
  <si>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</si>
  <si>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</si>
  <si>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</si>
  <si>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</si>
  <si>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</si>
  <si>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</si>
  <si>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</si>
  <si>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</si>
  <si>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</si>
  <si>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</si>
  <si>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</si>
  <si>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</si>
  <si>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</si>
  <si>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</si>
  <si>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</si>
  <si>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</si>
  <si>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</si>
  <si>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</si>
  <si>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</si>
  <si>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</si>
  <si>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</si>
  <si>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</si>
  <si>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</si>
  <si>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</si>
  <si>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</si>
  <si>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</si>
  <si>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</si>
  <si>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</si>
  <si>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</si>
  <si>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</si>
  <si>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</si>
  <si>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</si>
  <si>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</si>
  <si>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</si>
  <si>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</si>
  <si>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</si>
  <si>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</si>
  <si>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</si>
  <si>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</si>
  <si>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</si>
  <si>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</si>
  <si>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</si>
  <si>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</si>
  <si>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</si>
  <si>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</si>
  <si>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</si>
  <si>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</si>
  <si>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</si>
  <si>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</si>
  <si>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</si>
  <si>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</si>
  <si>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</si>
  <si>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</si>
  <si>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</si>
  <si>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</si>
  <si>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</si>
  <si>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</si>
  <si>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</si>
  <si>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</si>
  <si>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</si>
  <si>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</si>
  <si>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</si>
  <si>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</si>
  <si>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</si>
  <si>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</si>
  <si>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</si>
  <si>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</si>
  <si>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</si>
  <si>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</si>
  <si>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</si>
  <si>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</si>
  <si>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</si>
  <si>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</si>
  <si>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</si>
  <si>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</si>
  <si>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</si>
  <si>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</si>
  <si>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</si>
  <si>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</si>
  <si>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</si>
  <si>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</si>
  <si>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</si>
  <si>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</si>
  <si>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</si>
  <si>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</si>
  <si>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</si>
  <si>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</si>
  <si>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</si>
  <si>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</si>
  <si>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</si>
  <si>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</si>
  <si>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</si>
  <si>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</si>
  <si>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</si>
  <si>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</si>
  <si>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</si>
  <si>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</si>
  <si>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</si>
  <si>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</si>
  <si>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</si>
  <si>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</si>
  <si>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</si>
  <si>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</si>
  <si>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</si>
  <si>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</si>
  <si>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</si>
  <si>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</si>
  <si>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</si>
  <si>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</si>
  <si>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</si>
  <si>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</si>
  <si>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</si>
  <si>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</si>
  <si>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</si>
  <si>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</si>
  <si>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</si>
  <si>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</si>
  <si>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</si>
  <si>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</si>
  <si>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</si>
  <si>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</si>
  <si>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</si>
  <si>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</si>
  <si>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</si>
  <si>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</si>
  <si>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</si>
  <si>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</si>
  <si>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</si>
  <si>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</si>
  <si>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</si>
  <si>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</si>
  <si>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</si>
  <si>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</si>
  <si>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</si>
  <si>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</si>
  <si>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</si>
  <si>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</si>
  <si>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</si>
  <si>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</si>
  <si>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</si>
  <si>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</si>
  <si>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</si>
  <si>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</si>
  <si>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</si>
  <si>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</si>
  <si>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</si>
  <si>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</si>
  <si>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</si>
  <si>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</si>
  <si>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</si>
  <si>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</si>
  <si>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</si>
  <si>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</si>
  <si>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</si>
  <si>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</si>
  <si>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</si>
  <si>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</si>
  <si>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</si>
  <si>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</si>
  <si>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</si>
  <si>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</si>
  <si>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</si>
  <si>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</si>
  <si>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</si>
  <si>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</si>
  <si>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</si>
  <si>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</si>
  <si>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</si>
  <si>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</si>
  <si>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</si>
  <si>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</si>
  <si>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</si>
  <si>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</si>
  <si>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</si>
  <si>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</si>
  <si>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</si>
  <si>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</si>
  <si>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</si>
  <si>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</si>
  <si>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</si>
  <si>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</si>
  <si>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</si>
  <si>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</si>
  <si>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</si>
  <si>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</si>
  <si>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</si>
  <si>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</si>
  <si>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</si>
  <si>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</si>
  <si>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</si>
  <si>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</si>
  <si>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</si>
  <si>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</si>
  <si>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</si>
  <si>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</si>
  <si>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</si>
  <si>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</si>
  <si>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</si>
  <si>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</si>
  <si>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</si>
  <si>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</si>
  <si>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</si>
  <si>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</si>
  <si>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</si>
  <si>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</si>
  <si>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</si>
  <si>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</si>
  <si>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</si>
  <si>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</si>
  <si>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</si>
  <si>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</si>
  <si>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</si>
  <si>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</si>
  <si>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</si>
  <si>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</si>
  <si>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</si>
  <si>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</si>
  <si>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</si>
  <si>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</si>
  <si>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</si>
  <si>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</si>
  <si>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</si>
  <si>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</si>
  <si>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</si>
  <si>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</si>
  <si>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</si>
  <si>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</si>
  <si>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</si>
  <si>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</si>
  <si>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</si>
  <si>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</si>
  <si>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</si>
  <si>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</si>
  <si>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</si>
  <si>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</si>
  <si>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</si>
  <si>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</si>
  <si>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</si>
  <si>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</si>
  <si>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</si>
  <si>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</si>
  <si>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</si>
  <si>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</si>
  <si>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</si>
  <si>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</si>
  <si>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</si>
  <si>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</si>
  <si>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</si>
  <si>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</si>
  <si>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</si>
  <si>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</si>
  <si>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</si>
  <si>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</si>
  <si>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</si>
  <si>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</si>
  <si>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</si>
  <si>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</si>
  <si>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</si>
  <si>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</si>
  <si>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</si>
  <si>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</si>
  <si>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</si>
  <si>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</si>
  <si>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</si>
  <si>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</si>
  <si>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</si>
  <si>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</si>
  <si>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</si>
  <si>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</si>
  <si>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</si>
  <si>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</si>
  <si>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</si>
  <si>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</si>
  <si>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</si>
  <si>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</si>
  <si>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</si>
  <si>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</si>
  <si>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</si>
  <si>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</si>
  <si>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</si>
  <si>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</si>
  <si>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</si>
  <si>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</si>
  <si>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</si>
  <si>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</si>
  <si>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</si>
  <si>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</si>
  <si>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</si>
  <si>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</si>
  <si>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</si>
  <si>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</si>
  <si>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</si>
  <si>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</si>
  <si>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</si>
  <si>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</si>
  <si>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</si>
  <si>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</si>
  <si>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</si>
  <si>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</si>
  <si>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</si>
  <si>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</si>
  <si>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</si>
  <si>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</si>
  <si>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</si>
  <si>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</si>
  <si>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</si>
  <si>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</si>
  <si>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</si>
  <si>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</si>
  <si>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</si>
  <si>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</si>
  <si>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</si>
  <si>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</si>
  <si>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</si>
  <si>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</si>
  <si>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</si>
  <si>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</si>
  <si>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</si>
  <si>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</si>
  <si>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</si>
  <si>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</si>
  <si>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</si>
  <si>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</si>
  <si>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</si>
  <si>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</si>
  <si>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</si>
  <si>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</si>
  <si>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</si>
  <si>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</si>
  <si>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</si>
  <si>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</si>
  <si>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</si>
  <si>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</si>
  <si>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</si>
  <si>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</si>
  <si>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</si>
  <si>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</si>
  <si>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</si>
  <si>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</si>
  <si>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</si>
  <si>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</si>
  <si>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</si>
  <si>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</si>
  <si>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</si>
  <si>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</si>
  <si>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</si>
  <si>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</si>
  <si>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</si>
  <si>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</si>
  <si>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</si>
  <si>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</si>
  <si>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</si>
  <si>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</si>
  <si>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</si>
  <si>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</si>
  <si>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</si>
  <si>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</si>
  <si>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</si>
  <si>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</si>
  <si>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</si>
  <si>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</si>
  <si>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</si>
  <si>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</si>
  <si>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</si>
  <si>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</si>
  <si>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</si>
  <si>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</si>
  <si>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</si>
  <si>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</si>
  <si>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</si>
  <si>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</si>
  <si>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</si>
  <si>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</si>
  <si>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</si>
  <si>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</si>
  <si>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</si>
  <si>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</si>
  <si>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</si>
  <si>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</si>
  <si>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</si>
  <si>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</si>
  <si>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</si>
  <si>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</si>
  <si>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</si>
  <si>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</si>
  <si>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</si>
  <si>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</si>
  <si>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</si>
  <si>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</si>
  <si>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</si>
  <si>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</si>
  <si>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</si>
  <si>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</si>
  <si>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</si>
  <si>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</si>
  <si>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</si>
  <si>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</si>
  <si>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</si>
  <si>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</si>
  <si>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</si>
  <si>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</si>
  <si>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</si>
  <si>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</si>
  <si>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</si>
  <si>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</si>
  <si>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</si>
  <si>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</si>
  <si>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</si>
  <si>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</si>
  <si>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</si>
  <si>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</si>
  <si>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</si>
  <si>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</si>
  <si>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</si>
  <si>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</si>
  <si>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</si>
  <si>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</si>
  <si>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</si>
  <si>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</si>
  <si>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</si>
  <si>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</si>
  <si>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</si>
  <si>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</si>
  <si>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</si>
  <si>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</si>
  <si>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</si>
  <si>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</si>
  <si>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</si>
  <si>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</si>
  <si>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</si>
  <si>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</si>
  <si>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</si>
  <si>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</si>
  <si>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</si>
  <si>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</si>
  <si>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</si>
  <si>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</si>
  <si>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</si>
  <si>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</si>
  <si>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</si>
  <si>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</si>
  <si>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</si>
  <si>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</si>
  <si>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</si>
  <si>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</si>
  <si>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</si>
  <si>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</si>
  <si>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</si>
  <si>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</si>
  <si>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</si>
  <si>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</si>
  <si>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</si>
  <si>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</si>
  <si>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</si>
  <si>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</si>
  <si>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</si>
  <si>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</si>
  <si>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</si>
  <si>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</si>
  <si>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</si>
  <si>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</si>
  <si>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</si>
  <si>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</si>
  <si>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</si>
  <si>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</si>
  <si>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</si>
  <si>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</si>
  <si>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</si>
  <si>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</si>
  <si>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</si>
  <si>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</si>
  <si>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</si>
  <si>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</si>
  <si>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</si>
  <si>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</si>
  <si>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</si>
  <si>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</si>
  <si>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</si>
  <si>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</si>
  <si>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</si>
  <si>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</si>
  <si>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</si>
  <si>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</si>
  <si>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</si>
  <si>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</si>
  <si>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</si>
  <si>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</si>
  <si>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</si>
  <si>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</si>
  <si>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</si>
  <si>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</si>
  <si>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</si>
  <si>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</si>
  <si>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</si>
  <si>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</si>
  <si>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</si>
  <si>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</si>
  <si>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</si>
  <si>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</si>
  <si>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</si>
  <si>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</si>
  <si>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</si>
  <si>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</si>
  <si>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</si>
  <si>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</si>
  <si>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</si>
  <si>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</si>
  <si>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</si>
  <si>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</si>
  <si>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</si>
  <si>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</si>
  <si>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</si>
  <si>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</si>
  <si>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</si>
  <si>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</si>
  <si>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</si>
  <si>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</si>
  <si>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</si>
  <si>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</si>
  <si>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</si>
  <si>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</si>
  <si>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</si>
  <si>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</si>
  <si>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</si>
  <si>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</si>
  <si>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</si>
  <si>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</si>
  <si>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</si>
  <si>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</si>
  <si>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</si>
  <si>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</si>
  <si>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</si>
  <si>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</si>
  <si>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</si>
  <si>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</si>
  <si>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</si>
  <si>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</si>
  <si>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</si>
  <si>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</si>
  <si>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</si>
  <si>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</si>
  <si>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</si>
  <si>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</si>
  <si>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</si>
  <si>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</si>
  <si>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</si>
  <si>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</si>
  <si>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</si>
  <si>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</si>
  <si>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</si>
  <si>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</si>
  <si>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</si>
  <si>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</si>
  <si>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</si>
  <si>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</si>
  <si>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</si>
  <si>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</si>
  <si>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</si>
  <si>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</si>
  <si>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</si>
  <si>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</si>
  <si>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</si>
  <si>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</si>
  <si>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</si>
  <si>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</si>
  <si>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</si>
  <si>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</si>
  <si>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</si>
  <si>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</si>
  <si>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</si>
  <si>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</si>
  <si>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</si>
  <si>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</si>
  <si>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</si>
  <si>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</si>
  <si>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</si>
  <si>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</si>
  <si>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</si>
  <si>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</si>
  <si>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</si>
  <si>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</si>
  <si>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</si>
  <si>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</si>
  <si>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</si>
  <si>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</si>
  <si>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</si>
  <si>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</si>
  <si>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</si>
  <si>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</si>
  <si>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</si>
  <si>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</si>
  <si>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</si>
  <si>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</si>
  <si>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</si>
  <si>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</si>
  <si>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</si>
  <si>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</si>
  <si>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</si>
  <si>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</si>
  <si>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</si>
  <si>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</si>
  <si>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</si>
  <si>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</si>
  <si>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</si>
  <si>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</si>
  <si>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</si>
  <si>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</si>
  <si>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</si>
  <si>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</si>
  <si>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</si>
  <si>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</si>
  <si>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</si>
  <si>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</si>
  <si>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</si>
  <si>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</si>
  <si>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</si>
  <si>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</si>
  <si>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</si>
  <si>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</si>
  <si>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</si>
  <si>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</si>
  <si>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</si>
  <si>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</si>
  <si>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</si>
  <si>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</si>
  <si>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</si>
  <si>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</si>
  <si>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</si>
  <si>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</si>
  <si>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</si>
  <si>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</si>
  <si>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</si>
  <si>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Universidad de Guanajuato</t>
  </si>
  <si>
    <t>Al 31 de diciembre de 2019 y al 30 de septiembre de 2020 (b)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</si>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</sst>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165" fontId="0" fillId="0" borderId="13" xfId="1" applyNumberFormat="1" applyFont="1" applyBorder="1" applyAlignment="1" applyProtection="1">
      <alignment vertical="center"/>
      <protection locked="0"/>
    </xf>
    <xf numFmtId="165" fontId="1" fillId="0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1" t="s">
        <v>829</v>
      </c>
      <c r="B1" s="152"/>
      <c r="C1" s="152"/>
      <c r="D1" s="152"/>
      <c r="E1" s="15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4" t="s">
        <v>3302</v>
      </c>
      <c r="D3" s="15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B65" sqref="B6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7" t="s">
        <v>542</v>
      </c>
      <c r="B1" s="167"/>
      <c r="C1" s="167"/>
      <c r="D1" s="16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5" t="str">
        <f>ENTE_PUBLICO_A</f>
        <v>Universidad de Guanajuato, Gobierno del Estado de Guanajuato (a)</v>
      </c>
      <c r="B2" s="156"/>
      <c r="C2" s="156"/>
      <c r="D2" s="157"/>
    </row>
    <row r="3" spans="1:11" ht="14.25" x14ac:dyDescent="0.45">
      <c r="A3" s="158" t="s">
        <v>166</v>
      </c>
      <c r="B3" s="159"/>
      <c r="C3" s="159"/>
      <c r="D3" s="160"/>
    </row>
    <row r="4" spans="1:11" ht="14.25" x14ac:dyDescent="0.45">
      <c r="A4" s="161" t="str">
        <f>TRIMESTRE</f>
        <v>Del 1 de enero al 30 de septiembre de 2020 (b)</v>
      </c>
      <c r="B4" s="162"/>
      <c r="C4" s="162"/>
      <c r="D4" s="163"/>
    </row>
    <row r="5" spans="1:11" ht="14.25" x14ac:dyDescent="0.45">
      <c r="A5" s="164" t="s">
        <v>118</v>
      </c>
      <c r="B5" s="165"/>
      <c r="C5" s="165"/>
      <c r="D5" s="16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3691401852.9438</v>
      </c>
      <c r="C8" s="40">
        <f t="shared" ref="C8:D8" si="0">SUM(C9:C11)</f>
        <v>2604013619.9800005</v>
      </c>
      <c r="D8" s="40">
        <f t="shared" si="0"/>
        <v>2604013619.9800005</v>
      </c>
    </row>
    <row r="9" spans="1:11" x14ac:dyDescent="0.25">
      <c r="A9" s="53" t="s">
        <v>169</v>
      </c>
      <c r="B9" s="23">
        <v>1700707680.0138001</v>
      </c>
      <c r="C9" s="23">
        <v>1146405196.6500003</v>
      </c>
      <c r="D9" s="23">
        <v>1146405196.6500003</v>
      </c>
    </row>
    <row r="10" spans="1:11" x14ac:dyDescent="0.25">
      <c r="A10" s="53" t="s">
        <v>170</v>
      </c>
      <c r="B10" s="23">
        <v>1990694172.9300001</v>
      </c>
      <c r="C10" s="23">
        <v>1457608423.3300002</v>
      </c>
      <c r="D10" s="23">
        <v>1457608423.3300002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3521795708.1000047</v>
      </c>
      <c r="C13" s="40">
        <f t="shared" ref="C13:D13" si="2">C14+C15</f>
        <v>2078163754.5600009</v>
      </c>
      <c r="D13" s="40">
        <f t="shared" si="2"/>
        <v>2014033261.940002</v>
      </c>
    </row>
    <row r="14" spans="1:11" x14ac:dyDescent="0.25">
      <c r="A14" s="53" t="s">
        <v>172</v>
      </c>
      <c r="B14" s="23">
        <v>1528783936.3800011</v>
      </c>
      <c r="C14" s="23">
        <v>808609793.10000014</v>
      </c>
      <c r="D14" s="23">
        <v>760610927.78999996</v>
      </c>
    </row>
    <row r="15" spans="1:11" x14ac:dyDescent="0.25">
      <c r="A15" s="53" t="s">
        <v>173</v>
      </c>
      <c r="B15" s="23">
        <v>1993011771.7200036</v>
      </c>
      <c r="C15" s="23">
        <v>1269553961.4600008</v>
      </c>
      <c r="D15" s="23">
        <v>1253422334.150002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127715500.26999983</v>
      </c>
      <c r="D17" s="40">
        <f>D18+D19</f>
        <v>124461636.35999987</v>
      </c>
    </row>
    <row r="18" spans="1:4" x14ac:dyDescent="0.25">
      <c r="A18" s="53" t="s">
        <v>175</v>
      </c>
      <c r="B18" s="119">
        <v>0</v>
      </c>
      <c r="C18" s="23">
        <v>100510928.75999986</v>
      </c>
      <c r="D18" s="23">
        <v>97945875.939999878</v>
      </c>
    </row>
    <row r="19" spans="1:4" x14ac:dyDescent="0.25">
      <c r="A19" s="53" t="s">
        <v>176</v>
      </c>
      <c r="B19" s="119">
        <v>0</v>
      </c>
      <c r="C19" s="23">
        <v>27204571.509999983</v>
      </c>
      <c r="D19" s="117">
        <v>26515760.419999991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169606144.8437953</v>
      </c>
      <c r="C21" s="40">
        <f t="shared" ref="C21:D21" si="4">C8-C13+C17</f>
        <v>653565365.68999946</v>
      </c>
      <c r="D21" s="40">
        <f t="shared" si="4"/>
        <v>714441994.39999843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169606144.8437953</v>
      </c>
      <c r="C23" s="40">
        <f t="shared" ref="C23:D23" si="5">C21-C11</f>
        <v>653565365.68999946</v>
      </c>
      <c r="D23" s="40">
        <f t="shared" si="5"/>
        <v>714441994.39999843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169606144.8437953</v>
      </c>
      <c r="C25" s="40">
        <f t="shared" ref="C25" si="6">C23-C17</f>
        <v>525849865.4199996</v>
      </c>
      <c r="D25" s="40">
        <f>D23-D17</f>
        <v>589980358.03999853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169606144.8437953</v>
      </c>
      <c r="C33" s="61">
        <f t="shared" ref="C33:D33" si="8">C25+C29</f>
        <v>525849865.4199996</v>
      </c>
      <c r="D33" s="61">
        <f t="shared" si="8"/>
        <v>589980358.03999853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1700707680.0138001</v>
      </c>
      <c r="C48" s="124">
        <f>C9</f>
        <v>1146405196.6500003</v>
      </c>
      <c r="D48" s="124">
        <f t="shared" ref="D48" si="12">D9</f>
        <v>1146405196.6500003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1528783936.3800011</v>
      </c>
      <c r="C53" s="60">
        <f t="shared" ref="C53:D53" si="14">C14</f>
        <v>808609793.10000014</v>
      </c>
      <c r="D53" s="60">
        <f t="shared" si="14"/>
        <v>760610927.78999996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100510928.75999986</v>
      </c>
      <c r="D55" s="60">
        <f t="shared" si="15"/>
        <v>97945875.939999878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171923743.63379908</v>
      </c>
      <c r="C57" s="61">
        <f>C48+C49-C53+C55</f>
        <v>438306332.31000006</v>
      </c>
      <c r="D57" s="61">
        <f t="shared" ref="D57" si="16">D48+D49-D53+D55</f>
        <v>483740144.80000025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171923743.63379908</v>
      </c>
      <c r="C59" s="61">
        <f t="shared" ref="C59:D59" si="17">C57-C49</f>
        <v>438306332.31000006</v>
      </c>
      <c r="D59" s="61">
        <f t="shared" si="17"/>
        <v>483740144.80000025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1990694172.9300001</v>
      </c>
      <c r="C63" s="122">
        <f t="shared" ref="C63:D63" si="18">C10</f>
        <v>1457608423.3300002</v>
      </c>
      <c r="D63" s="122">
        <f t="shared" si="18"/>
        <v>1457608423.3300002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1993011771.7200036</v>
      </c>
      <c r="C68" s="23">
        <f t="shared" ref="C68:D68" si="20">C15</f>
        <v>1269553961.4600008</v>
      </c>
      <c r="D68" s="23">
        <f t="shared" si="20"/>
        <v>1253422334.150002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27204571.509999983</v>
      </c>
      <c r="D70" s="23">
        <f t="shared" si="21"/>
        <v>26515760.419999991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-2317598.7900035381</v>
      </c>
      <c r="C72" s="40">
        <f t="shared" ref="C72:D72" si="22">C63+C64-C68+C70</f>
        <v>215259033.3799994</v>
      </c>
      <c r="D72" s="40">
        <f t="shared" si="22"/>
        <v>230701849.59999815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-2317598.7900035381</v>
      </c>
      <c r="C74" s="40">
        <f>C72-C64</f>
        <v>215259033.3799994</v>
      </c>
      <c r="D74" s="40">
        <f t="shared" ref="D74" si="23">D72-D64</f>
        <v>230701849.59999815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3691401852.9438</v>
      </c>
      <c r="Q2" s="18">
        <f>'Formato 4'!C8</f>
        <v>2604013619.9800005</v>
      </c>
      <c r="R2" s="18">
        <f>'Formato 4'!D8</f>
        <v>2604013619.9800005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1700707680.0138001</v>
      </c>
      <c r="Q3" s="18">
        <f>'Formato 4'!C9</f>
        <v>1146405196.6500003</v>
      </c>
      <c r="R3" s="18">
        <f>'Formato 4'!D9</f>
        <v>1146405196.6500003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1990694172.9300001</v>
      </c>
      <c r="Q4" s="18">
        <f>'Formato 4'!C10</f>
        <v>1457608423.3300002</v>
      </c>
      <c r="R4" s="18">
        <f>'Formato 4'!D10</f>
        <v>1457608423.3300002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3521795708.1000047</v>
      </c>
      <c r="Q6" s="18">
        <f>'Formato 4'!C13</f>
        <v>2078163754.5600009</v>
      </c>
      <c r="R6" s="18">
        <f>'Formato 4'!D13</f>
        <v>2014033261.940002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1528783936.3800011</v>
      </c>
      <c r="Q7" s="18">
        <f>'Formato 4'!C14</f>
        <v>808609793.10000014</v>
      </c>
      <c r="R7" s="18">
        <f>'Formato 4'!D14</f>
        <v>760610927.78999996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1993011771.7200036</v>
      </c>
      <c r="Q8" s="18">
        <f>'Formato 4'!C15</f>
        <v>1269553961.4600008</v>
      </c>
      <c r="R8" s="18">
        <f>'Formato 4'!D15</f>
        <v>1253422334.150002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127715500.26999983</v>
      </c>
      <c r="R9" s="18">
        <f>'Formato 4'!D17</f>
        <v>124461636.35999987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100510928.75999986</v>
      </c>
      <c r="R10" s="18">
        <f>'Formato 4'!D18</f>
        <v>97945875.939999878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27204571.509999983</v>
      </c>
      <c r="R11" s="18">
        <f>'Formato 4'!D19</f>
        <v>26515760.419999991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169606144.8437953</v>
      </c>
      <c r="Q12" s="18">
        <f>'Formato 4'!C21</f>
        <v>653565365.68999946</v>
      </c>
      <c r="R12" s="18">
        <f>'Formato 4'!D21</f>
        <v>714441994.39999843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169606144.8437953</v>
      </c>
      <c r="Q13" s="18">
        <f>'Formato 4'!C23</f>
        <v>653565365.68999946</v>
      </c>
      <c r="R13" s="18">
        <f>'Formato 4'!D23</f>
        <v>714441994.39999843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169606144.8437953</v>
      </c>
      <c r="Q14" s="18">
        <f>'Formato 4'!C25</f>
        <v>525849865.4199996</v>
      </c>
      <c r="R14" s="18">
        <f>'Formato 4'!D25</f>
        <v>589980358.03999853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169606144.8437953</v>
      </c>
      <c r="Q18">
        <f>'Formato 4'!C33</f>
        <v>525849865.4199996</v>
      </c>
      <c r="R18">
        <f>'Formato 4'!D33</f>
        <v>589980358.03999853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1700707680.0138001</v>
      </c>
      <c r="Q26">
        <f>'Formato 4'!C48</f>
        <v>1146405196.6500003</v>
      </c>
      <c r="R26">
        <f>'Formato 4'!D48</f>
        <v>1146405196.6500003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1528783936.3800011</v>
      </c>
      <c r="Q30">
        <f>'Formato 4'!C53</f>
        <v>808609793.10000014</v>
      </c>
      <c r="R30">
        <f>'Formato 4'!D53</f>
        <v>760610927.78999996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100510928.75999986</v>
      </c>
      <c r="R31">
        <f>'Formato 4'!D55</f>
        <v>97945875.939999878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1990694172.9300001</v>
      </c>
      <c r="Q32">
        <f>'Formato 4'!C63</f>
        <v>1457608423.3300002</v>
      </c>
      <c r="R32">
        <f>'Formato 4'!D63</f>
        <v>1457608423.3300002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1993011771.7200036</v>
      </c>
      <c r="Q36">
        <f>'Formato 4'!C68</f>
        <v>1269553961.4600008</v>
      </c>
      <c r="R36">
        <f>'Formato 4'!D68</f>
        <v>1253422334.150002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27204571.509999983</v>
      </c>
      <c r="R37">
        <f>'Formato 4'!D70</f>
        <v>26515760.419999991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-2317598.7900035381</v>
      </c>
      <c r="Q38">
        <f>'Formato 4'!C72</f>
        <v>215259033.3799994</v>
      </c>
      <c r="R38">
        <f>'Formato 4'!D72</f>
        <v>230701849.59999815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-2317598.7900035381</v>
      </c>
      <c r="Q39">
        <f>'Formato 4'!C74</f>
        <v>215259033.3799994</v>
      </c>
      <c r="R39">
        <f>'Formato 4'!D74</f>
        <v>230701849.59999815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D35" sqref="D3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3" t="s">
        <v>206</v>
      </c>
      <c r="B1" s="173"/>
      <c r="C1" s="173"/>
      <c r="D1" s="173"/>
      <c r="E1" s="173"/>
      <c r="F1" s="173"/>
      <c r="G1" s="173"/>
    </row>
    <row r="2" spans="1:8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7"/>
    </row>
    <row r="3" spans="1:8" x14ac:dyDescent="0.25">
      <c r="A3" s="158" t="s">
        <v>207</v>
      </c>
      <c r="B3" s="159"/>
      <c r="C3" s="159"/>
      <c r="D3" s="159"/>
      <c r="E3" s="159"/>
      <c r="F3" s="159"/>
      <c r="G3" s="160"/>
    </row>
    <row r="4" spans="1:8" ht="14.25" x14ac:dyDescent="0.45">
      <c r="A4" s="161" t="str">
        <f>TRIMESTRE</f>
        <v>Del 1 de enero al 30 de septiembre de 2020 (b)</v>
      </c>
      <c r="B4" s="162"/>
      <c r="C4" s="162"/>
      <c r="D4" s="162"/>
      <c r="E4" s="162"/>
      <c r="F4" s="162"/>
      <c r="G4" s="163"/>
    </row>
    <row r="5" spans="1:8" ht="14.25" x14ac:dyDescent="0.45">
      <c r="A5" s="164" t="s">
        <v>118</v>
      </c>
      <c r="B5" s="165"/>
      <c r="C5" s="165"/>
      <c r="D5" s="165"/>
      <c r="E5" s="165"/>
      <c r="F5" s="165"/>
      <c r="G5" s="166"/>
    </row>
    <row r="6" spans="1:8" x14ac:dyDescent="0.25">
      <c r="A6" s="170" t="s">
        <v>214</v>
      </c>
      <c r="B6" s="172" t="s">
        <v>208</v>
      </c>
      <c r="C6" s="172"/>
      <c r="D6" s="172"/>
      <c r="E6" s="172"/>
      <c r="F6" s="172"/>
      <c r="G6" s="172" t="s">
        <v>209</v>
      </c>
    </row>
    <row r="7" spans="1:8" ht="30" x14ac:dyDescent="0.25">
      <c r="A7" s="17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45851676.830400005</v>
      </c>
      <c r="C10" s="60">
        <v>0</v>
      </c>
      <c r="D10" s="60">
        <v>45851676.830400005</v>
      </c>
      <c r="E10" s="60">
        <v>35073353.600000009</v>
      </c>
      <c r="F10" s="60">
        <v>35073353.600000009</v>
      </c>
      <c r="G10" s="60">
        <f t="shared" ref="G10:G15" si="0">F10-B10</f>
        <v>-10778323.230399996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494001556.18340003</v>
      </c>
      <c r="C15" s="60">
        <v>-26404175.130000003</v>
      </c>
      <c r="D15" s="60">
        <v>467597381.05340004</v>
      </c>
      <c r="E15" s="60">
        <v>340898862.66999996</v>
      </c>
      <c r="F15" s="60">
        <v>340898862.66999996</v>
      </c>
      <c r="G15" s="60">
        <f t="shared" si="0"/>
        <v>-153102693.51340008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1160854447</v>
      </c>
      <c r="C35" s="60">
        <f t="shared" ref="C35:F35" si="5">C36</f>
        <v>-138439663.71000001</v>
      </c>
      <c r="D35" s="60">
        <f t="shared" si="5"/>
        <v>1022414783.29</v>
      </c>
      <c r="E35" s="60">
        <f t="shared" si="5"/>
        <v>770432980.38</v>
      </c>
      <c r="F35" s="60">
        <f t="shared" si="5"/>
        <v>770432980.38</v>
      </c>
      <c r="G35" s="60">
        <f>G36</f>
        <v>-390421466.62</v>
      </c>
    </row>
    <row r="36" spans="1:8" x14ac:dyDescent="0.25">
      <c r="A36" s="63" t="s">
        <v>242</v>
      </c>
      <c r="B36" s="60">
        <v>1160854447</v>
      </c>
      <c r="C36" s="60">
        <v>-138439663.71000001</v>
      </c>
      <c r="D36" s="60">
        <v>1022414783.29</v>
      </c>
      <c r="E36" s="60">
        <v>770432980.38</v>
      </c>
      <c r="F36" s="60">
        <v>770432980.38</v>
      </c>
      <c r="G36" s="60">
        <f>F36-B36</f>
        <v>-390421466.62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1700707680.0138001</v>
      </c>
      <c r="C41" s="61">
        <f t="shared" ref="C41:E41" si="7">SUM(C9,C10,C11,C12,C13,C14,C15,C16,C28,C34,C35,C37)</f>
        <v>-164843838.84</v>
      </c>
      <c r="D41" s="61">
        <f t="shared" si="7"/>
        <v>1535863841.1738</v>
      </c>
      <c r="E41" s="61">
        <f t="shared" si="7"/>
        <v>1146405196.6500001</v>
      </c>
      <c r="F41" s="61">
        <f>SUM(F9,F10,F11,F12,F13,F14,F15,F16,F28,F34,F35,F37)</f>
        <v>1146405196.6500001</v>
      </c>
      <c r="G41" s="61">
        <f>SUM(G9,G10,G11,G12,G13,G14,G15,G16,G28,G34,G35,G37)</f>
        <v>-554302483.36380005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23667568.73</v>
      </c>
      <c r="C45" s="60">
        <f t="shared" ref="C45:G45" si="8">SUM(C46:C53)</f>
        <v>5647242.9800000004</v>
      </c>
      <c r="D45" s="60">
        <f t="shared" si="8"/>
        <v>29314811.710000001</v>
      </c>
      <c r="E45" s="60">
        <f t="shared" si="8"/>
        <v>21033070.93</v>
      </c>
      <c r="F45" s="60">
        <f t="shared" si="8"/>
        <v>21033070.93</v>
      </c>
      <c r="G45" s="60">
        <f t="shared" si="8"/>
        <v>-2634497.8000000007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 t="shared" ref="G46:G49" si="9"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si="9"/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23667568.73</v>
      </c>
      <c r="C50" s="60">
        <v>5647242.9800000004</v>
      </c>
      <c r="D50" s="60">
        <v>29314811.710000001</v>
      </c>
      <c r="E50" s="60">
        <v>21033070.93</v>
      </c>
      <c r="F50" s="60">
        <v>21033070.93</v>
      </c>
      <c r="G50" s="60">
        <f t="shared" ref="G50" si="10">F50-B50</f>
        <v>-2634497.8000000007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>F51-B51</f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>F52-B52</f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>F53-B53</f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1">SUM(C55:C58)</f>
        <v>0</v>
      </c>
      <c r="D54" s="60">
        <f t="shared" si="11"/>
        <v>0</v>
      </c>
      <c r="E54" s="60">
        <f t="shared" si="11"/>
        <v>0</v>
      </c>
      <c r="F54" s="60">
        <f t="shared" si="11"/>
        <v>0</v>
      </c>
      <c r="G54" s="60">
        <f t="shared" si="11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 t="shared" ref="G55:G58" si="12"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si="12"/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2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2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3">SUM(C60:C61)</f>
        <v>0</v>
      </c>
      <c r="D59" s="60">
        <f t="shared" si="13"/>
        <v>0</v>
      </c>
      <c r="E59" s="60">
        <f t="shared" si="13"/>
        <v>0</v>
      </c>
      <c r="F59" s="60">
        <f t="shared" si="13"/>
        <v>0</v>
      </c>
      <c r="G59" s="60">
        <f t="shared" si="13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 t="shared" ref="G60:G61" si="14"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 t="shared" si="14"/>
        <v>0</v>
      </c>
    </row>
    <row r="62" spans="1:7" x14ac:dyDescent="0.25">
      <c r="A62" s="53" t="s">
        <v>265</v>
      </c>
      <c r="B62" s="60">
        <v>1860692107</v>
      </c>
      <c r="C62" s="60">
        <v>4543497.22</v>
      </c>
      <c r="D62" s="60">
        <v>1865235604.22</v>
      </c>
      <c r="E62" s="60">
        <v>1430064000</v>
      </c>
      <c r="F62" s="60">
        <v>1430064000</v>
      </c>
      <c r="G62" s="60">
        <f>F62-B62</f>
        <v>-430628107</v>
      </c>
    </row>
    <row r="63" spans="1:7" x14ac:dyDescent="0.25">
      <c r="A63" s="53" t="s">
        <v>266</v>
      </c>
      <c r="B63" s="60">
        <v>106334497.20000005</v>
      </c>
      <c r="C63" s="60">
        <v>-14953046.199999999</v>
      </c>
      <c r="D63" s="60">
        <v>91381451.000000045</v>
      </c>
      <c r="E63" s="60">
        <v>6511352.4000000954</v>
      </c>
      <c r="F63" s="60">
        <v>6511352.4000000954</v>
      </c>
      <c r="G63" s="60">
        <f>F63-B63</f>
        <v>-99823144.799999952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1990694172.9300001</v>
      </c>
      <c r="C65" s="61">
        <f t="shared" ref="C65:G65" si="15">C45+C54+C59+C62+C63</f>
        <v>-4762306</v>
      </c>
      <c r="D65" s="61">
        <f t="shared" si="15"/>
        <v>1985931866.9300001</v>
      </c>
      <c r="E65" s="61">
        <f t="shared" si="15"/>
        <v>1457608423.3300002</v>
      </c>
      <c r="F65" s="61">
        <f t="shared" si="15"/>
        <v>1457608423.3300002</v>
      </c>
      <c r="G65" s="61">
        <f t="shared" si="15"/>
        <v>-533085749.59999996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6">C68</f>
        <v>0</v>
      </c>
      <c r="D67" s="61">
        <f t="shared" si="16"/>
        <v>0</v>
      </c>
      <c r="E67" s="61">
        <f t="shared" si="16"/>
        <v>0</v>
      </c>
      <c r="F67" s="61">
        <f t="shared" si="16"/>
        <v>0</v>
      </c>
      <c r="G67" s="61">
        <f t="shared" si="16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3691401852.9438</v>
      </c>
      <c r="C70" s="61">
        <f t="shared" ref="C70:G70" si="17">C41+C65+C67</f>
        <v>-169606144.84</v>
      </c>
      <c r="D70" s="61">
        <f t="shared" si="17"/>
        <v>3521795708.1037998</v>
      </c>
      <c r="E70" s="61">
        <f t="shared" si="17"/>
        <v>2604013619.9800005</v>
      </c>
      <c r="F70" s="61">
        <f t="shared" si="17"/>
        <v>2604013619.9800005</v>
      </c>
      <c r="G70" s="61">
        <f t="shared" si="17"/>
        <v>-1087388232.9638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8">C73+C74</f>
        <v>0</v>
      </c>
      <c r="D75" s="61">
        <f t="shared" si="18"/>
        <v>0</v>
      </c>
      <c r="E75" s="61">
        <f t="shared" si="18"/>
        <v>0</v>
      </c>
      <c r="F75" s="61">
        <f t="shared" si="18"/>
        <v>0</v>
      </c>
      <c r="G75" s="61">
        <f t="shared" si="18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45851676.830400005</v>
      </c>
      <c r="Q4" s="18">
        <f>'Formato 5'!C10</f>
        <v>0</v>
      </c>
      <c r="R4" s="18">
        <f>'Formato 5'!D10</f>
        <v>45851676.830400005</v>
      </c>
      <c r="S4" s="18">
        <f>'Formato 5'!E10</f>
        <v>35073353.600000009</v>
      </c>
      <c r="T4" s="18">
        <f>'Formato 5'!F10</f>
        <v>35073353.600000009</v>
      </c>
      <c r="U4" s="18">
        <f>'Formato 5'!G10</f>
        <v>-10778323.230399996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494001556.18340003</v>
      </c>
      <c r="Q9" s="18">
        <f>'Formato 5'!C15</f>
        <v>-26404175.130000003</v>
      </c>
      <c r="R9" s="18">
        <f>'Formato 5'!D15</f>
        <v>467597381.05340004</v>
      </c>
      <c r="S9" s="18">
        <f>'Formato 5'!E15</f>
        <v>340898862.66999996</v>
      </c>
      <c r="T9" s="18">
        <f>'Formato 5'!F15</f>
        <v>340898862.66999996</v>
      </c>
      <c r="U9" s="18">
        <f>'Formato 5'!G15</f>
        <v>-153102693.51340008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1160854447</v>
      </c>
      <c r="Q29" s="18">
        <f>'Formato 5'!C35</f>
        <v>-138439663.71000001</v>
      </c>
      <c r="R29" s="18">
        <f>'Formato 5'!D35</f>
        <v>1022414783.29</v>
      </c>
      <c r="S29" s="18">
        <f>'Formato 5'!E35</f>
        <v>770432980.38</v>
      </c>
      <c r="T29" s="18">
        <f>'Formato 5'!F35</f>
        <v>770432980.38</v>
      </c>
      <c r="U29" s="18">
        <f>'Formato 5'!G35</f>
        <v>-390421466.62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1160854447</v>
      </c>
      <c r="Q30" s="18">
        <f>'Formato 5'!C36</f>
        <v>-138439663.71000001</v>
      </c>
      <c r="R30" s="18">
        <f>'Formato 5'!D36</f>
        <v>1022414783.29</v>
      </c>
      <c r="S30" s="18">
        <f>'Formato 5'!E36</f>
        <v>770432980.38</v>
      </c>
      <c r="T30" s="18">
        <f>'Formato 5'!F36</f>
        <v>770432980.38</v>
      </c>
      <c r="U30" s="18">
        <f>'Formato 5'!G36</f>
        <v>-390421466.62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1700707680.0138001</v>
      </c>
      <c r="Q34">
        <f>'Formato 5'!C41</f>
        <v>-164843838.84</v>
      </c>
      <c r="R34">
        <f>'Formato 5'!D41</f>
        <v>1535863841.1738</v>
      </c>
      <c r="S34">
        <f>'Formato 5'!E41</f>
        <v>1146405196.6500001</v>
      </c>
      <c r="T34">
        <f>'Formato 5'!F41</f>
        <v>1146405196.6500001</v>
      </c>
      <c r="U34">
        <f>'Formato 5'!G41</f>
        <v>-554302483.36380005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23667568.73</v>
      </c>
      <c r="Q37">
        <f>'Formato 5'!C45</f>
        <v>5647242.9800000004</v>
      </c>
      <c r="R37">
        <f>'Formato 5'!D45</f>
        <v>29314811.710000001</v>
      </c>
      <c r="S37">
        <f>'Formato 5'!E45</f>
        <v>21033070.93</v>
      </c>
      <c r="T37">
        <f>'Formato 5'!F45</f>
        <v>21033070.93</v>
      </c>
      <c r="U37">
        <f>'Formato 5'!G45</f>
        <v>-2634497.8000000007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23667568.73</v>
      </c>
      <c r="Q42">
        <f>'Formato 5'!C50</f>
        <v>5647242.9800000004</v>
      </c>
      <c r="R42">
        <f>'Formato 5'!D50</f>
        <v>29314811.710000001</v>
      </c>
      <c r="S42">
        <f>'Formato 5'!E50</f>
        <v>21033070.93</v>
      </c>
      <c r="T42">
        <f>'Formato 5'!F50</f>
        <v>21033070.93</v>
      </c>
      <c r="U42">
        <f>'Formato 5'!G50</f>
        <v>-2634497.8000000007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1860692107</v>
      </c>
      <c r="Q54">
        <f>'Formato 5'!C62</f>
        <v>4543497.22</v>
      </c>
      <c r="R54">
        <f>'Formato 5'!D62</f>
        <v>1865235604.22</v>
      </c>
      <c r="S54">
        <f>'Formato 5'!E62</f>
        <v>1430064000</v>
      </c>
      <c r="T54">
        <f>'Formato 5'!F62</f>
        <v>1430064000</v>
      </c>
      <c r="U54">
        <f>'Formato 5'!G62</f>
        <v>-430628107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106334497.20000005</v>
      </c>
      <c r="Q55">
        <f>'Formato 5'!C63</f>
        <v>-14953046.199999999</v>
      </c>
      <c r="R55">
        <f>'Formato 5'!D63</f>
        <v>91381451.000000045</v>
      </c>
      <c r="S55">
        <f>'Formato 5'!E63</f>
        <v>6511352.4000000954</v>
      </c>
      <c r="T55">
        <f>'Formato 5'!F63</f>
        <v>6511352.4000000954</v>
      </c>
      <c r="U55">
        <f>'Formato 5'!G63</f>
        <v>-99823144.799999952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1990694172.9300001</v>
      </c>
      <c r="Q56">
        <f>'Formato 5'!C65</f>
        <v>-4762306</v>
      </c>
      <c r="R56">
        <f>'Formato 5'!D65</f>
        <v>1985931866.9300001</v>
      </c>
      <c r="S56">
        <f>'Formato 5'!E65</f>
        <v>1457608423.3300002</v>
      </c>
      <c r="T56">
        <f>'Formato 5'!F65</f>
        <v>1457608423.3300002</v>
      </c>
      <c r="U56">
        <f>'Formato 5'!G65</f>
        <v>-533085749.59999996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Normal="100" zoomScalePageLayoutView="90" workbookViewId="0">
      <selection activeCell="E151" sqref="E15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4" t="s">
        <v>3285</v>
      </c>
      <c r="B1" s="173"/>
      <c r="C1" s="173"/>
      <c r="D1" s="173"/>
      <c r="E1" s="173"/>
      <c r="F1" s="173"/>
      <c r="G1" s="173"/>
    </row>
    <row r="2" spans="1:7" ht="14.25" x14ac:dyDescent="0.45">
      <c r="A2" s="177" t="str">
        <f>ENTE_PUBLICO_A</f>
        <v>Universidad de Guanajuato, Gobierno del Estado de Guanajuato (a)</v>
      </c>
      <c r="B2" s="177"/>
      <c r="C2" s="177"/>
      <c r="D2" s="177"/>
      <c r="E2" s="177"/>
      <c r="F2" s="177"/>
      <c r="G2" s="177"/>
    </row>
    <row r="3" spans="1:7" x14ac:dyDescent="0.25">
      <c r="A3" s="178" t="s">
        <v>277</v>
      </c>
      <c r="B3" s="178"/>
      <c r="C3" s="178"/>
      <c r="D3" s="178"/>
      <c r="E3" s="178"/>
      <c r="F3" s="178"/>
      <c r="G3" s="178"/>
    </row>
    <row r="4" spans="1:7" x14ac:dyDescent="0.25">
      <c r="A4" s="178" t="s">
        <v>278</v>
      </c>
      <c r="B4" s="178"/>
      <c r="C4" s="178"/>
      <c r="D4" s="178"/>
      <c r="E4" s="178"/>
      <c r="F4" s="178"/>
      <c r="G4" s="178"/>
    </row>
    <row r="5" spans="1:7" ht="14.25" x14ac:dyDescent="0.45">
      <c r="A5" s="179" t="str">
        <f>TRIMESTRE</f>
        <v>Del 1 de enero al 30 de septiembre de 2020 (b)</v>
      </c>
      <c r="B5" s="179"/>
      <c r="C5" s="179"/>
      <c r="D5" s="179"/>
      <c r="E5" s="179"/>
      <c r="F5" s="179"/>
      <c r="G5" s="179"/>
    </row>
    <row r="6" spans="1:7" ht="14.25" x14ac:dyDescent="0.45">
      <c r="A6" s="171" t="s">
        <v>118</v>
      </c>
      <c r="B6" s="171"/>
      <c r="C6" s="171"/>
      <c r="D6" s="171"/>
      <c r="E6" s="171"/>
      <c r="F6" s="171"/>
      <c r="G6" s="171"/>
    </row>
    <row r="7" spans="1:7" ht="15" customHeight="1" x14ac:dyDescent="0.25">
      <c r="A7" s="175" t="s">
        <v>0</v>
      </c>
      <c r="B7" s="175" t="s">
        <v>279</v>
      </c>
      <c r="C7" s="175"/>
      <c r="D7" s="175"/>
      <c r="E7" s="175"/>
      <c r="F7" s="175"/>
      <c r="G7" s="176" t="s">
        <v>280</v>
      </c>
    </row>
    <row r="8" spans="1:7" ht="30" x14ac:dyDescent="0.25">
      <c r="A8" s="17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5"/>
    </row>
    <row r="9" spans="1:7" ht="14.25" x14ac:dyDescent="0.45">
      <c r="A9" s="82" t="s">
        <v>285</v>
      </c>
      <c r="B9" s="79">
        <f>SUM(B10,B18,B28,B38,B48,B58,B62,B71,B75)</f>
        <v>2001196837.28</v>
      </c>
      <c r="C9" s="79">
        <f t="shared" ref="C9:G9" si="0">SUM(C10,C18,C28,C38,C48,C58,C62,C71,C75)</f>
        <v>-77277768.010000005</v>
      </c>
      <c r="D9" s="79">
        <f t="shared" si="0"/>
        <v>1923919069.27</v>
      </c>
      <c r="E9" s="79">
        <f t="shared" si="0"/>
        <v>909120721.86000013</v>
      </c>
      <c r="F9" s="79">
        <f t="shared" si="0"/>
        <v>858556803.73000002</v>
      </c>
      <c r="G9" s="79">
        <f t="shared" si="0"/>
        <v>1014798347.4100001</v>
      </c>
    </row>
    <row r="10" spans="1:7" ht="14.25" x14ac:dyDescent="0.45">
      <c r="A10" s="83" t="s">
        <v>286</v>
      </c>
      <c r="B10" s="80">
        <f>SUM(B11:B17)</f>
        <v>1084079858.9400001</v>
      </c>
      <c r="C10" s="80">
        <f t="shared" ref="C10:F10" si="1">SUM(C11:C17)</f>
        <v>18736061.879999995</v>
      </c>
      <c r="D10" s="80">
        <f t="shared" si="1"/>
        <v>1102815920.8199999</v>
      </c>
      <c r="E10" s="80">
        <f t="shared" si="1"/>
        <v>698889034.33000004</v>
      </c>
      <c r="F10" s="80">
        <f t="shared" si="1"/>
        <v>684664612.74000001</v>
      </c>
      <c r="G10" s="80">
        <f>SUM(G11:G17)</f>
        <v>403926886.49000001</v>
      </c>
    </row>
    <row r="11" spans="1:7" x14ac:dyDescent="0.25">
      <c r="A11" s="84" t="s">
        <v>287</v>
      </c>
      <c r="B11" s="80">
        <v>217122542.63</v>
      </c>
      <c r="C11" s="80">
        <v>-903975.46</v>
      </c>
      <c r="D11" s="80">
        <v>216218567.16999999</v>
      </c>
      <c r="E11" s="80">
        <v>159556233.15000001</v>
      </c>
      <c r="F11" s="80">
        <v>159451211.94</v>
      </c>
      <c r="G11" s="80">
        <f>D11-E11</f>
        <v>56662334.019999981</v>
      </c>
    </row>
    <row r="12" spans="1:7" x14ac:dyDescent="0.25">
      <c r="A12" s="84" t="s">
        <v>288</v>
      </c>
      <c r="B12" s="80">
        <v>267696386.49000001</v>
      </c>
      <c r="C12" s="80">
        <v>52225326.200000003</v>
      </c>
      <c r="D12" s="80">
        <v>319921712.69</v>
      </c>
      <c r="E12" s="80">
        <v>174813334.52000001</v>
      </c>
      <c r="F12" s="80">
        <v>174791741.28</v>
      </c>
      <c r="G12" s="80">
        <f>D12-E12</f>
        <v>145108378.16999999</v>
      </c>
    </row>
    <row r="13" spans="1:7" x14ac:dyDescent="0.25">
      <c r="A13" s="84" t="s">
        <v>289</v>
      </c>
      <c r="B13" s="80">
        <v>119180432.95999999</v>
      </c>
      <c r="C13" s="80">
        <v>-2077790.17</v>
      </c>
      <c r="D13" s="80">
        <v>117102642.79000001</v>
      </c>
      <c r="E13" s="80">
        <v>65262684.090000004</v>
      </c>
      <c r="F13" s="80">
        <v>65121052.07</v>
      </c>
      <c r="G13" s="80">
        <f t="shared" ref="G13:G17" si="2">D13-E13</f>
        <v>51839958.700000003</v>
      </c>
    </row>
    <row r="14" spans="1:7" x14ac:dyDescent="0.25">
      <c r="A14" s="84" t="s">
        <v>290</v>
      </c>
      <c r="B14" s="80">
        <v>130918506.94</v>
      </c>
      <c r="C14" s="80">
        <v>-98554.52</v>
      </c>
      <c r="D14" s="80">
        <v>130819952.42</v>
      </c>
      <c r="E14" s="80">
        <v>86720483.859999999</v>
      </c>
      <c r="F14" s="80">
        <v>83387960.480000004</v>
      </c>
      <c r="G14" s="80">
        <f t="shared" si="2"/>
        <v>44099468.560000002</v>
      </c>
    </row>
    <row r="15" spans="1:7" x14ac:dyDescent="0.25">
      <c r="A15" s="84" t="s">
        <v>291</v>
      </c>
      <c r="B15" s="80">
        <v>250308732.84</v>
      </c>
      <c r="C15" s="80">
        <v>-46074203.460000001</v>
      </c>
      <c r="D15" s="80">
        <v>204234529.38</v>
      </c>
      <c r="E15" s="80">
        <v>126298851.72</v>
      </c>
      <c r="F15" s="80">
        <v>115678228.25</v>
      </c>
      <c r="G15" s="80">
        <f t="shared" si="2"/>
        <v>77935677.659999996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98853257.079999998</v>
      </c>
      <c r="C17" s="80">
        <v>15665259.289999999</v>
      </c>
      <c r="D17" s="80">
        <v>114518516.37</v>
      </c>
      <c r="E17" s="80">
        <v>86237446.989999995</v>
      </c>
      <c r="F17" s="80">
        <v>86234418.719999999</v>
      </c>
      <c r="G17" s="80">
        <f t="shared" si="2"/>
        <v>28281069.38000001</v>
      </c>
    </row>
    <row r="18" spans="1:7" x14ac:dyDescent="0.25">
      <c r="A18" s="83" t="s">
        <v>294</v>
      </c>
      <c r="B18" s="80">
        <f>SUM(B19:B27)</f>
        <v>63409981.559999995</v>
      </c>
      <c r="C18" s="80">
        <f t="shared" ref="C18:F18" si="3">SUM(C19:C27)</f>
        <v>40990401.229999997</v>
      </c>
      <c r="D18" s="80">
        <f t="shared" si="3"/>
        <v>104400382.78999999</v>
      </c>
      <c r="E18" s="80">
        <f t="shared" si="3"/>
        <v>22045893.500000004</v>
      </c>
      <c r="F18" s="80">
        <f t="shared" si="3"/>
        <v>20372724.689999994</v>
      </c>
      <c r="G18" s="80">
        <f>SUM(G19:G27)</f>
        <v>82354489.290000007</v>
      </c>
    </row>
    <row r="19" spans="1:7" x14ac:dyDescent="0.25">
      <c r="A19" s="84" t="s">
        <v>295</v>
      </c>
      <c r="B19" s="80">
        <v>19694632.34</v>
      </c>
      <c r="C19" s="80">
        <v>33728406.520000003</v>
      </c>
      <c r="D19" s="80">
        <v>53423038.859999999</v>
      </c>
      <c r="E19" s="80">
        <v>5535660.0099999998</v>
      </c>
      <c r="F19" s="80">
        <v>5202595.1100000003</v>
      </c>
      <c r="G19" s="80">
        <f>D19-E19</f>
        <v>47887378.850000001</v>
      </c>
    </row>
    <row r="20" spans="1:7" x14ac:dyDescent="0.25">
      <c r="A20" s="84" t="s">
        <v>296</v>
      </c>
      <c r="B20" s="80">
        <v>8199060.3899999997</v>
      </c>
      <c r="C20" s="80">
        <v>-1620203.45</v>
      </c>
      <c r="D20" s="80">
        <v>6578856.9400000004</v>
      </c>
      <c r="E20" s="80">
        <v>2100173.64</v>
      </c>
      <c r="F20" s="80">
        <v>2020603.93</v>
      </c>
      <c r="G20" s="80">
        <f t="shared" ref="G20:G27" si="4">D20-E20</f>
        <v>4478683.3000000007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6915815.5599999996</v>
      </c>
      <c r="C22" s="80">
        <v>864311.74</v>
      </c>
      <c r="D22" s="80">
        <v>7780127.2999999998</v>
      </c>
      <c r="E22" s="80">
        <v>1955300.88</v>
      </c>
      <c r="F22" s="80">
        <v>1809732.5</v>
      </c>
      <c r="G22" s="80">
        <f t="shared" si="4"/>
        <v>5824826.4199999999</v>
      </c>
    </row>
    <row r="23" spans="1:7" x14ac:dyDescent="0.25">
      <c r="A23" s="84" t="s">
        <v>299</v>
      </c>
      <c r="B23" s="80">
        <v>10121481.98</v>
      </c>
      <c r="C23" s="80">
        <v>7831387.8700000001</v>
      </c>
      <c r="D23" s="80">
        <v>17952869.850000001</v>
      </c>
      <c r="E23" s="80">
        <v>7978579.6699999999</v>
      </c>
      <c r="F23" s="80">
        <v>7279106.04</v>
      </c>
      <c r="G23" s="80">
        <f t="shared" si="4"/>
        <v>9974290.1800000016</v>
      </c>
    </row>
    <row r="24" spans="1:7" x14ac:dyDescent="0.25">
      <c r="A24" s="84" t="s">
        <v>300</v>
      </c>
      <c r="B24" s="80">
        <v>7064606.8799999999</v>
      </c>
      <c r="C24" s="80">
        <v>-1046603.24</v>
      </c>
      <c r="D24" s="80">
        <v>6018003.6399999997</v>
      </c>
      <c r="E24" s="80">
        <v>1895962.53</v>
      </c>
      <c r="F24" s="80">
        <v>1839848.58</v>
      </c>
      <c r="G24" s="80">
        <f t="shared" si="4"/>
        <v>4122041.1099999994</v>
      </c>
    </row>
    <row r="25" spans="1:7" x14ac:dyDescent="0.25">
      <c r="A25" s="84" t="s">
        <v>301</v>
      </c>
      <c r="B25" s="80">
        <v>9644257.4700000007</v>
      </c>
      <c r="C25" s="80">
        <v>400343.37</v>
      </c>
      <c r="D25" s="80">
        <v>10044600.84</v>
      </c>
      <c r="E25" s="80">
        <v>1517609.49</v>
      </c>
      <c r="F25" s="80">
        <v>1275384.29</v>
      </c>
      <c r="G25" s="80">
        <f t="shared" si="4"/>
        <v>8526991.3499999996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1770126.94</v>
      </c>
      <c r="C27" s="80">
        <v>832758.42</v>
      </c>
      <c r="D27" s="80">
        <v>2602885.36</v>
      </c>
      <c r="E27" s="80">
        <v>1062607.28</v>
      </c>
      <c r="F27" s="80">
        <v>945454.24</v>
      </c>
      <c r="G27" s="80">
        <f t="shared" si="4"/>
        <v>1540278.0799999998</v>
      </c>
    </row>
    <row r="28" spans="1:7" x14ac:dyDescent="0.25">
      <c r="A28" s="83" t="s">
        <v>304</v>
      </c>
      <c r="B28" s="80">
        <f>SUM(B29:B37)</f>
        <v>302193711.92000002</v>
      </c>
      <c r="C28" s="80">
        <f t="shared" ref="C28:G28" si="5">SUM(C29:C37)</f>
        <v>16505332.75</v>
      </c>
      <c r="D28" s="80">
        <f t="shared" si="5"/>
        <v>318699044.67000008</v>
      </c>
      <c r="E28" s="80">
        <f t="shared" si="5"/>
        <v>97799422.599999994</v>
      </c>
      <c r="F28" s="80">
        <f t="shared" si="5"/>
        <v>64838922.459999993</v>
      </c>
      <c r="G28" s="80">
        <f t="shared" si="5"/>
        <v>220899622.06999999</v>
      </c>
    </row>
    <row r="29" spans="1:7" x14ac:dyDescent="0.25">
      <c r="A29" s="84" t="s">
        <v>305</v>
      </c>
      <c r="B29" s="80">
        <v>10436788.4</v>
      </c>
      <c r="C29" s="80">
        <v>1527057.61</v>
      </c>
      <c r="D29" s="80">
        <v>11963846.01</v>
      </c>
      <c r="E29" s="80">
        <v>5762134.6299999999</v>
      </c>
      <c r="F29" s="80">
        <v>5697599.96</v>
      </c>
      <c r="G29" s="80">
        <f>D29-E29</f>
        <v>6201711.3799999999</v>
      </c>
    </row>
    <row r="30" spans="1:7" x14ac:dyDescent="0.25">
      <c r="A30" s="84" t="s">
        <v>306</v>
      </c>
      <c r="B30" s="80">
        <v>27857609.629999999</v>
      </c>
      <c r="C30" s="80">
        <v>-8362535.8799999999</v>
      </c>
      <c r="D30" s="80">
        <v>19495073.75</v>
      </c>
      <c r="E30" s="80">
        <v>7641425.1500000004</v>
      </c>
      <c r="F30" s="80">
        <v>7461097.7400000002</v>
      </c>
      <c r="G30" s="80">
        <f t="shared" ref="G30:G37" si="6">D30-E30</f>
        <v>11853648.6</v>
      </c>
    </row>
    <row r="31" spans="1:7" x14ac:dyDescent="0.25">
      <c r="A31" s="84" t="s">
        <v>307</v>
      </c>
      <c r="B31" s="80">
        <v>52245112.210000001</v>
      </c>
      <c r="C31" s="80">
        <v>33878523.020000003</v>
      </c>
      <c r="D31" s="80">
        <v>86123635.230000004</v>
      </c>
      <c r="E31" s="80">
        <v>15218818.810000001</v>
      </c>
      <c r="F31" s="80">
        <v>13836189.41</v>
      </c>
      <c r="G31" s="80">
        <f t="shared" si="6"/>
        <v>70904816.420000002</v>
      </c>
    </row>
    <row r="32" spans="1:7" x14ac:dyDescent="0.25">
      <c r="A32" s="84" t="s">
        <v>308</v>
      </c>
      <c r="B32" s="80">
        <v>9014471.1600000001</v>
      </c>
      <c r="C32" s="80">
        <v>6932446.96</v>
      </c>
      <c r="D32" s="80">
        <v>15946918.119999999</v>
      </c>
      <c r="E32" s="80">
        <v>5296438.6900000004</v>
      </c>
      <c r="F32" s="80">
        <v>5296438.6900000004</v>
      </c>
      <c r="G32" s="80">
        <f t="shared" si="6"/>
        <v>10650479.43</v>
      </c>
    </row>
    <row r="33" spans="1:7" x14ac:dyDescent="0.25">
      <c r="A33" s="84" t="s">
        <v>309</v>
      </c>
      <c r="B33" s="80">
        <v>79055277.359999999</v>
      </c>
      <c r="C33" s="80">
        <v>10757555.140000001</v>
      </c>
      <c r="D33" s="80">
        <v>89812832.5</v>
      </c>
      <c r="E33" s="80">
        <v>23597703.77</v>
      </c>
      <c r="F33" s="80">
        <v>22445297.870000001</v>
      </c>
      <c r="G33" s="80">
        <f t="shared" si="6"/>
        <v>66215128.730000004</v>
      </c>
    </row>
    <row r="34" spans="1:7" x14ac:dyDescent="0.25">
      <c r="A34" s="84" t="s">
        <v>310</v>
      </c>
      <c r="B34" s="80">
        <v>15683056.93</v>
      </c>
      <c r="C34" s="80">
        <v>-4994481.5999999996</v>
      </c>
      <c r="D34" s="80">
        <v>10688575.33</v>
      </c>
      <c r="E34" s="80">
        <v>4148750.44</v>
      </c>
      <c r="F34" s="80">
        <v>3767229.12</v>
      </c>
      <c r="G34" s="80">
        <f t="shared" si="6"/>
        <v>6539824.8900000006</v>
      </c>
    </row>
    <row r="35" spans="1:7" x14ac:dyDescent="0.25">
      <c r="A35" s="84" t="s">
        <v>311</v>
      </c>
      <c r="B35" s="80">
        <v>28375414.879999999</v>
      </c>
      <c r="C35" s="80">
        <v>-12043871.699999999</v>
      </c>
      <c r="D35" s="80">
        <v>16331543.18</v>
      </c>
      <c r="E35" s="80">
        <v>1972331.94</v>
      </c>
      <c r="F35" s="80">
        <v>1928295.18</v>
      </c>
      <c r="G35" s="80">
        <f t="shared" si="6"/>
        <v>14359211.24</v>
      </c>
    </row>
    <row r="36" spans="1:7" x14ac:dyDescent="0.25">
      <c r="A36" s="84" t="s">
        <v>312</v>
      </c>
      <c r="B36" s="80">
        <v>35569304.549999997</v>
      </c>
      <c r="C36" s="80">
        <v>-11517150.42</v>
      </c>
      <c r="D36" s="80">
        <v>24052154.129999999</v>
      </c>
      <c r="E36" s="80">
        <v>4417268.7</v>
      </c>
      <c r="F36" s="80">
        <v>4201084.05</v>
      </c>
      <c r="G36" s="80">
        <f t="shared" si="6"/>
        <v>19634885.43</v>
      </c>
    </row>
    <row r="37" spans="1:7" x14ac:dyDescent="0.25">
      <c r="A37" s="84" t="s">
        <v>313</v>
      </c>
      <c r="B37" s="80">
        <v>43956676.799999997</v>
      </c>
      <c r="C37" s="80">
        <v>327789.62</v>
      </c>
      <c r="D37" s="80">
        <v>44284466.420000002</v>
      </c>
      <c r="E37" s="80">
        <v>29744550.469999999</v>
      </c>
      <c r="F37" s="80">
        <v>205690.44</v>
      </c>
      <c r="G37" s="80">
        <f t="shared" si="6"/>
        <v>14539915.950000003</v>
      </c>
    </row>
    <row r="38" spans="1:7" x14ac:dyDescent="0.25">
      <c r="A38" s="83" t="s">
        <v>314</v>
      </c>
      <c r="B38" s="80">
        <f>SUM(B39:B47)</f>
        <v>104057716.83</v>
      </c>
      <c r="C38" s="80">
        <f t="shared" ref="C38:G38" si="7">SUM(C39:C47)</f>
        <v>10819986.859999999</v>
      </c>
      <c r="D38" s="80">
        <f t="shared" si="7"/>
        <v>114877703.69</v>
      </c>
      <c r="E38" s="80">
        <f t="shared" si="7"/>
        <v>41577986.119999997</v>
      </c>
      <c r="F38" s="80">
        <f t="shared" si="7"/>
        <v>40727428.979999997</v>
      </c>
      <c r="G38" s="80">
        <f t="shared" si="7"/>
        <v>73299717.569999993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103967716.83</v>
      </c>
      <c r="C43" s="80">
        <v>10879986.859999999</v>
      </c>
      <c r="D43" s="80">
        <v>114847703.69</v>
      </c>
      <c r="E43" s="80">
        <v>41577986.119999997</v>
      </c>
      <c r="F43" s="80">
        <v>40727428.979999997</v>
      </c>
      <c r="G43" s="80">
        <f t="shared" si="8"/>
        <v>73269717.569999993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90000</v>
      </c>
      <c r="C47" s="80">
        <v>-60000</v>
      </c>
      <c r="D47" s="80">
        <v>30000</v>
      </c>
      <c r="E47" s="80">
        <v>0</v>
      </c>
      <c r="F47" s="80">
        <v>0</v>
      </c>
      <c r="G47" s="80">
        <f t="shared" si="8"/>
        <v>30000</v>
      </c>
    </row>
    <row r="48" spans="1:7" x14ac:dyDescent="0.25">
      <c r="A48" s="83" t="s">
        <v>324</v>
      </c>
      <c r="B48" s="80">
        <f>SUM(B49:B57)</f>
        <v>213706768.25</v>
      </c>
      <c r="C48" s="80">
        <f t="shared" ref="C48:G48" si="9">SUM(C49:C57)</f>
        <v>-20917403</v>
      </c>
      <c r="D48" s="80">
        <f t="shared" si="9"/>
        <v>192789365.25</v>
      </c>
      <c r="E48" s="80">
        <f t="shared" si="9"/>
        <v>24405544.109999999</v>
      </c>
      <c r="F48" s="80">
        <f t="shared" si="9"/>
        <v>23645242.400000002</v>
      </c>
      <c r="G48" s="80">
        <f t="shared" si="9"/>
        <v>168383821.14000002</v>
      </c>
    </row>
    <row r="49" spans="1:7" x14ac:dyDescent="0.25">
      <c r="A49" s="84" t="s">
        <v>325</v>
      </c>
      <c r="B49" s="80">
        <v>116826179.29000001</v>
      </c>
      <c r="C49" s="80">
        <v>-33216312.690000001</v>
      </c>
      <c r="D49" s="80">
        <v>83609866.599999994</v>
      </c>
      <c r="E49" s="80">
        <v>8160330.0700000003</v>
      </c>
      <c r="F49" s="80">
        <v>7849634.0700000003</v>
      </c>
      <c r="G49" s="80">
        <f>D49-E49</f>
        <v>75449536.530000001</v>
      </c>
    </row>
    <row r="50" spans="1:7" x14ac:dyDescent="0.25">
      <c r="A50" s="84" t="s">
        <v>326</v>
      </c>
      <c r="B50" s="80">
        <v>6998261.3099999996</v>
      </c>
      <c r="C50" s="80">
        <v>10138998.32</v>
      </c>
      <c r="D50" s="80">
        <v>17137259.629999999</v>
      </c>
      <c r="E50" s="80">
        <v>4135294.45</v>
      </c>
      <c r="F50" s="80">
        <v>4111094.06</v>
      </c>
      <c r="G50" s="80">
        <f t="shared" ref="G50:G57" si="10">D50-E50</f>
        <v>13001965.18</v>
      </c>
    </row>
    <row r="51" spans="1:7" x14ac:dyDescent="0.25">
      <c r="A51" s="84" t="s">
        <v>327</v>
      </c>
      <c r="B51" s="80">
        <v>64071487.920000002</v>
      </c>
      <c r="C51" s="80">
        <v>-2809676.42</v>
      </c>
      <c r="D51" s="80">
        <v>61261811.5</v>
      </c>
      <c r="E51" s="80">
        <v>5727207.9900000002</v>
      </c>
      <c r="F51" s="80">
        <v>5534664.9199999999</v>
      </c>
      <c r="G51" s="80">
        <f t="shared" si="10"/>
        <v>55534603.509999998</v>
      </c>
    </row>
    <row r="52" spans="1:7" x14ac:dyDescent="0.25">
      <c r="A52" s="84" t="s">
        <v>328</v>
      </c>
      <c r="B52" s="80">
        <v>11555700</v>
      </c>
      <c r="C52" s="80">
        <v>121849.55</v>
      </c>
      <c r="D52" s="80">
        <v>11677549.550000001</v>
      </c>
      <c r="E52" s="80">
        <v>0</v>
      </c>
      <c r="F52" s="80">
        <v>0</v>
      </c>
      <c r="G52" s="80">
        <f t="shared" si="10"/>
        <v>11677549.550000001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13611265.73</v>
      </c>
      <c r="C54" s="80">
        <v>3802833.09</v>
      </c>
      <c r="D54" s="80">
        <v>17414098.82</v>
      </c>
      <c r="E54" s="80">
        <v>6088989.6399999997</v>
      </c>
      <c r="F54" s="80">
        <v>5856127.3899999997</v>
      </c>
      <c r="G54" s="80">
        <f t="shared" si="10"/>
        <v>11325109.18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643874</v>
      </c>
      <c r="C57" s="80">
        <v>1044905.15</v>
      </c>
      <c r="D57" s="80">
        <v>1688779.15</v>
      </c>
      <c r="E57" s="80">
        <v>293721.96000000002</v>
      </c>
      <c r="F57" s="80">
        <v>293721.96000000002</v>
      </c>
      <c r="G57" s="80">
        <f t="shared" si="10"/>
        <v>1395057.19</v>
      </c>
    </row>
    <row r="58" spans="1:7" x14ac:dyDescent="0.25">
      <c r="A58" s="83" t="s">
        <v>334</v>
      </c>
      <c r="B58" s="80">
        <f>SUM(B59:B61)</f>
        <v>233748799.78</v>
      </c>
      <c r="C58" s="80">
        <f t="shared" ref="C58:G58" si="11">SUM(C59:C61)</f>
        <v>-143412147.72999999</v>
      </c>
      <c r="D58" s="80">
        <f t="shared" si="11"/>
        <v>90336652.049999997</v>
      </c>
      <c r="E58" s="80">
        <f t="shared" si="11"/>
        <v>24402841.199999999</v>
      </c>
      <c r="F58" s="80">
        <f t="shared" si="11"/>
        <v>24307872.460000001</v>
      </c>
      <c r="G58" s="80">
        <f t="shared" si="11"/>
        <v>65933810.849999994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233748799.78</v>
      </c>
      <c r="C60" s="80">
        <v>-143412147.72999999</v>
      </c>
      <c r="D60" s="80">
        <v>90336652.049999997</v>
      </c>
      <c r="E60" s="80">
        <v>24402841.199999999</v>
      </c>
      <c r="F60" s="80">
        <v>24307872.460000001</v>
      </c>
      <c r="G60" s="80">
        <f t="shared" ref="G60:G61" si="12">D60-E60</f>
        <v>65933810.849999994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2005919172.7099998</v>
      </c>
      <c r="C84" s="79">
        <f t="shared" ref="C84:G84" si="19">SUM(C85,C93,C103,C113,C123,C133,C137,C146,C150)</f>
        <v>101805737.78999999</v>
      </c>
      <c r="D84" s="79">
        <f t="shared" si="19"/>
        <v>2107724910.5</v>
      </c>
      <c r="E84" s="79">
        <f t="shared" si="19"/>
        <v>1296758532.97</v>
      </c>
      <c r="F84" s="79">
        <f t="shared" si="19"/>
        <v>1279938094.5700002</v>
      </c>
      <c r="G84" s="79">
        <f t="shared" si="19"/>
        <v>810966377.52999985</v>
      </c>
    </row>
    <row r="85" spans="1:7" x14ac:dyDescent="0.25">
      <c r="A85" s="83" t="s">
        <v>286</v>
      </c>
      <c r="B85" s="80">
        <f>SUM(B86:B92)</f>
        <v>1787651320.4699998</v>
      </c>
      <c r="C85" s="80">
        <f t="shared" ref="C85:G85" si="20">SUM(C86:C92)</f>
        <v>-15839995.219999997</v>
      </c>
      <c r="D85" s="80">
        <f t="shared" si="20"/>
        <v>1771811325.25</v>
      </c>
      <c r="E85" s="80">
        <f t="shared" si="20"/>
        <v>1227607884.03</v>
      </c>
      <c r="F85" s="80">
        <f t="shared" si="20"/>
        <v>1212648776.3499999</v>
      </c>
      <c r="G85" s="80">
        <f t="shared" si="20"/>
        <v>544203441.21999991</v>
      </c>
    </row>
    <row r="86" spans="1:7" x14ac:dyDescent="0.25">
      <c r="A86" s="84" t="s">
        <v>287</v>
      </c>
      <c r="B86" s="80">
        <v>490463555.50999999</v>
      </c>
      <c r="C86" s="80">
        <v>10764732.91</v>
      </c>
      <c r="D86" s="80">
        <v>501228288.42000002</v>
      </c>
      <c r="E86" s="80">
        <v>370898204.55000001</v>
      </c>
      <c r="F86" s="80">
        <v>370893255.00999999</v>
      </c>
      <c r="G86" s="80">
        <f>D86-E86</f>
        <v>130330083.87</v>
      </c>
    </row>
    <row r="87" spans="1:7" x14ac:dyDescent="0.25">
      <c r="A87" s="84" t="s">
        <v>288</v>
      </c>
      <c r="B87" s="80">
        <v>29023255.43</v>
      </c>
      <c r="C87" s="80">
        <v>16245128.66</v>
      </c>
      <c r="D87" s="80">
        <v>45268384.090000004</v>
      </c>
      <c r="E87" s="80">
        <v>40674559.200000003</v>
      </c>
      <c r="F87" s="80">
        <v>40674558.469999999</v>
      </c>
      <c r="G87" s="80">
        <f t="shared" ref="G87:G92" si="21">D87-E87</f>
        <v>4593824.8900000006</v>
      </c>
    </row>
    <row r="88" spans="1:7" x14ac:dyDescent="0.25">
      <c r="A88" s="84" t="s">
        <v>289</v>
      </c>
      <c r="B88" s="80">
        <v>229008695.18000001</v>
      </c>
      <c r="C88" s="80">
        <v>3332331.8</v>
      </c>
      <c r="D88" s="80">
        <v>232341026.97999999</v>
      </c>
      <c r="E88" s="80">
        <v>120575996.76000001</v>
      </c>
      <c r="F88" s="80">
        <v>120535113.86</v>
      </c>
      <c r="G88" s="80">
        <f t="shared" si="21"/>
        <v>111765030.21999998</v>
      </c>
    </row>
    <row r="89" spans="1:7" x14ac:dyDescent="0.25">
      <c r="A89" s="84" t="s">
        <v>290</v>
      </c>
      <c r="B89" s="80">
        <v>261584106.18000001</v>
      </c>
      <c r="C89" s="80">
        <v>4623098.54</v>
      </c>
      <c r="D89" s="80">
        <v>266207204.72</v>
      </c>
      <c r="E89" s="80">
        <v>170380216.31</v>
      </c>
      <c r="F89" s="80">
        <v>162260103.18000001</v>
      </c>
      <c r="G89" s="80">
        <f t="shared" si="21"/>
        <v>95826988.409999996</v>
      </c>
    </row>
    <row r="90" spans="1:7" x14ac:dyDescent="0.25">
      <c r="A90" s="84" t="s">
        <v>291</v>
      </c>
      <c r="B90" s="80">
        <v>551009622.64999998</v>
      </c>
      <c r="C90" s="80">
        <v>-35292653.5</v>
      </c>
      <c r="D90" s="80">
        <v>515716969.14999998</v>
      </c>
      <c r="E90" s="80">
        <v>369423732.41000003</v>
      </c>
      <c r="F90" s="80">
        <v>362630571.58999997</v>
      </c>
      <c r="G90" s="80">
        <f t="shared" si="21"/>
        <v>146293236.73999995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226562085.52000001</v>
      </c>
      <c r="C92" s="80">
        <v>-15512633.630000001</v>
      </c>
      <c r="D92" s="80">
        <v>211049451.88999999</v>
      </c>
      <c r="E92" s="80">
        <v>155655174.80000001</v>
      </c>
      <c r="F92" s="80">
        <v>155655174.24000001</v>
      </c>
      <c r="G92" s="80">
        <f t="shared" si="21"/>
        <v>55394277.089999974</v>
      </c>
    </row>
    <row r="93" spans="1:7" x14ac:dyDescent="0.25">
      <c r="A93" s="83" t="s">
        <v>294</v>
      </c>
      <c r="B93" s="80">
        <f>SUM(B94:B102)</f>
        <v>61029740.469999991</v>
      </c>
      <c r="C93" s="80">
        <f t="shared" ref="C93:G93" si="22">SUM(C94:C102)</f>
        <v>13061121.210000001</v>
      </c>
      <c r="D93" s="80">
        <f t="shared" si="22"/>
        <v>74090861.680000007</v>
      </c>
      <c r="E93" s="80">
        <f t="shared" si="22"/>
        <v>23001880.210000001</v>
      </c>
      <c r="F93" s="80">
        <f t="shared" si="22"/>
        <v>22152893.68</v>
      </c>
      <c r="G93" s="80">
        <f t="shared" si="22"/>
        <v>51088981.470000014</v>
      </c>
    </row>
    <row r="94" spans="1:7" x14ac:dyDescent="0.25">
      <c r="A94" s="84" t="s">
        <v>295</v>
      </c>
      <c r="B94" s="80">
        <v>16160960.01</v>
      </c>
      <c r="C94" s="80">
        <v>6215474.5099999998</v>
      </c>
      <c r="D94" s="80">
        <v>22376434.52</v>
      </c>
      <c r="E94" s="80">
        <v>7796790.9000000004</v>
      </c>
      <c r="F94" s="80">
        <v>7551803.1299999999</v>
      </c>
      <c r="G94" s="80">
        <f>D94-E94</f>
        <v>14579643.619999999</v>
      </c>
    </row>
    <row r="95" spans="1:7" x14ac:dyDescent="0.25">
      <c r="A95" s="84" t="s">
        <v>296</v>
      </c>
      <c r="B95" s="80">
        <v>5543746</v>
      </c>
      <c r="C95" s="80">
        <v>-750326.26</v>
      </c>
      <c r="D95" s="80">
        <v>4793419.74</v>
      </c>
      <c r="E95" s="80">
        <v>1706407.87</v>
      </c>
      <c r="F95" s="80">
        <v>1670694.42</v>
      </c>
      <c r="G95" s="80">
        <f t="shared" ref="G95:G102" si="23">D95-E95</f>
        <v>3087011.87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3096950.25</v>
      </c>
      <c r="C97" s="80">
        <v>1623239.94</v>
      </c>
      <c r="D97" s="80">
        <v>4720190.1900000004</v>
      </c>
      <c r="E97" s="80">
        <v>2589796.84</v>
      </c>
      <c r="F97" s="80">
        <v>2530764.8199999998</v>
      </c>
      <c r="G97" s="80">
        <f t="shared" si="23"/>
        <v>2130393.3500000006</v>
      </c>
    </row>
    <row r="98" spans="1:7" x14ac:dyDescent="0.25">
      <c r="A98" s="42" t="s">
        <v>299</v>
      </c>
      <c r="B98" s="80">
        <v>21904432.120000001</v>
      </c>
      <c r="C98" s="80">
        <v>5555499.8399999999</v>
      </c>
      <c r="D98" s="80">
        <v>27459931.960000001</v>
      </c>
      <c r="E98" s="80">
        <v>4383717.82</v>
      </c>
      <c r="F98" s="80">
        <v>4189163.63</v>
      </c>
      <c r="G98" s="80">
        <f t="shared" si="23"/>
        <v>23076214.140000001</v>
      </c>
    </row>
    <row r="99" spans="1:7" x14ac:dyDescent="0.25">
      <c r="A99" s="84" t="s">
        <v>300</v>
      </c>
      <c r="B99" s="80">
        <v>9813646.1400000006</v>
      </c>
      <c r="C99" s="80">
        <v>-1245891.94</v>
      </c>
      <c r="D99" s="80">
        <v>8567754.1999999993</v>
      </c>
      <c r="E99" s="80">
        <v>3444681.5</v>
      </c>
      <c r="F99" s="80">
        <v>3339459.16</v>
      </c>
      <c r="G99" s="80">
        <f t="shared" si="23"/>
        <v>5123072.6999999993</v>
      </c>
    </row>
    <row r="100" spans="1:7" x14ac:dyDescent="0.25">
      <c r="A100" s="84" t="s">
        <v>301</v>
      </c>
      <c r="B100" s="80">
        <v>298516.90000000002</v>
      </c>
      <c r="C100" s="80">
        <v>848985.41</v>
      </c>
      <c r="D100" s="80">
        <v>1147502.31</v>
      </c>
      <c r="E100" s="80">
        <v>694906.11</v>
      </c>
      <c r="F100" s="80">
        <v>639036.91</v>
      </c>
      <c r="G100" s="80">
        <f t="shared" si="23"/>
        <v>452596.20000000007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4211489.05</v>
      </c>
      <c r="C102" s="80">
        <v>814139.71</v>
      </c>
      <c r="D102" s="80">
        <v>5025628.76</v>
      </c>
      <c r="E102" s="80">
        <v>2385579.17</v>
      </c>
      <c r="F102" s="80">
        <v>2231971.61</v>
      </c>
      <c r="G102" s="80">
        <f t="shared" si="23"/>
        <v>2640049.59</v>
      </c>
    </row>
    <row r="103" spans="1:7" x14ac:dyDescent="0.25">
      <c r="A103" s="83" t="s">
        <v>304</v>
      </c>
      <c r="B103" s="80">
        <f>SUM(B104:B112)</f>
        <v>77756530.539999992</v>
      </c>
      <c r="C103" s="80">
        <f>SUM(C104:C112)</f>
        <v>48852990.200000003</v>
      </c>
      <c r="D103" s="80">
        <f t="shared" ref="D103:G103" si="24">SUM(D104:D112)</f>
        <v>126609520.73999999</v>
      </c>
      <c r="E103" s="80">
        <f t="shared" si="24"/>
        <v>29464110.57</v>
      </c>
      <c r="F103" s="80">
        <f t="shared" si="24"/>
        <v>29014836.120000005</v>
      </c>
      <c r="G103" s="80">
        <f t="shared" si="24"/>
        <v>97145410.170000002</v>
      </c>
    </row>
    <row r="104" spans="1:7" x14ac:dyDescent="0.25">
      <c r="A104" s="84" t="s">
        <v>305</v>
      </c>
      <c r="B104" s="80">
        <v>38215073.329999998</v>
      </c>
      <c r="C104" s="80">
        <v>-4792770.75</v>
      </c>
      <c r="D104" s="80">
        <v>33422302.579999998</v>
      </c>
      <c r="E104" s="80">
        <v>18504889.07</v>
      </c>
      <c r="F104" s="80">
        <v>18476024.039999999</v>
      </c>
      <c r="G104" s="80">
        <f>D104-E104</f>
        <v>14917413.509999998</v>
      </c>
    </row>
    <row r="105" spans="1:7" x14ac:dyDescent="0.25">
      <c r="A105" s="84" t="s">
        <v>306</v>
      </c>
      <c r="B105" s="80">
        <v>14149399.970000001</v>
      </c>
      <c r="C105" s="80">
        <v>3808371.5</v>
      </c>
      <c r="D105" s="80">
        <v>17957771.469999999</v>
      </c>
      <c r="E105" s="80">
        <v>3696219.72</v>
      </c>
      <c r="F105" s="80">
        <v>3589664.67</v>
      </c>
      <c r="G105" s="80">
        <f t="shared" ref="G105:G112" si="25">D105-E105</f>
        <v>14261551.749999998</v>
      </c>
    </row>
    <row r="106" spans="1:7" x14ac:dyDescent="0.25">
      <c r="A106" s="84" t="s">
        <v>307</v>
      </c>
      <c r="B106" s="80">
        <v>8236995.5099999998</v>
      </c>
      <c r="C106" s="80">
        <v>4262019.96</v>
      </c>
      <c r="D106" s="80">
        <v>12499015.470000001</v>
      </c>
      <c r="E106" s="80">
        <v>1745602.28</v>
      </c>
      <c r="F106" s="80">
        <v>1671126.24</v>
      </c>
      <c r="G106" s="80">
        <f t="shared" si="25"/>
        <v>10753413.190000001</v>
      </c>
    </row>
    <row r="107" spans="1:7" x14ac:dyDescent="0.25">
      <c r="A107" s="84" t="s">
        <v>308</v>
      </c>
      <c r="B107" s="80">
        <v>1412984.26</v>
      </c>
      <c r="C107" s="80">
        <v>9143795.5099999998</v>
      </c>
      <c r="D107" s="80">
        <v>10556779.77</v>
      </c>
      <c r="E107" s="80">
        <v>899548.55</v>
      </c>
      <c r="F107" s="80">
        <v>899548.55</v>
      </c>
      <c r="G107" s="80">
        <f t="shared" si="25"/>
        <v>9657231.2199999988</v>
      </c>
    </row>
    <row r="108" spans="1:7" x14ac:dyDescent="0.25">
      <c r="A108" s="84" t="s">
        <v>309</v>
      </c>
      <c r="B108" s="80">
        <v>5761074.6399999997</v>
      </c>
      <c r="C108" s="80">
        <v>1301092.98</v>
      </c>
      <c r="D108" s="80">
        <v>7062167.6200000001</v>
      </c>
      <c r="E108" s="80">
        <v>2733548.43</v>
      </c>
      <c r="F108" s="80">
        <v>2593845.46</v>
      </c>
      <c r="G108" s="80">
        <f t="shared" si="25"/>
        <v>4328619.1899999995</v>
      </c>
    </row>
    <row r="109" spans="1:7" x14ac:dyDescent="0.25">
      <c r="A109" s="84" t="s">
        <v>310</v>
      </c>
      <c r="B109" s="80">
        <v>0</v>
      </c>
      <c r="C109" s="80">
        <v>550403.06999999995</v>
      </c>
      <c r="D109" s="80">
        <v>550403.06999999995</v>
      </c>
      <c r="E109" s="80">
        <v>163058.88</v>
      </c>
      <c r="F109" s="80">
        <v>163058.88</v>
      </c>
      <c r="G109" s="80">
        <f t="shared" si="25"/>
        <v>387344.18999999994</v>
      </c>
    </row>
    <row r="110" spans="1:7" x14ac:dyDescent="0.25">
      <c r="A110" s="84" t="s">
        <v>311</v>
      </c>
      <c r="B110" s="80">
        <v>9299382.6199999992</v>
      </c>
      <c r="C110" s="80">
        <v>33013273.510000002</v>
      </c>
      <c r="D110" s="80">
        <v>42312656.130000003</v>
      </c>
      <c r="E110" s="80">
        <v>1519946.32</v>
      </c>
      <c r="F110" s="80">
        <v>1447520.26</v>
      </c>
      <c r="G110" s="80">
        <f t="shared" si="25"/>
        <v>40792709.810000002</v>
      </c>
    </row>
    <row r="111" spans="1:7" x14ac:dyDescent="0.25">
      <c r="A111" s="84" t="s">
        <v>312</v>
      </c>
      <c r="B111" s="80">
        <v>450000</v>
      </c>
      <c r="C111" s="80">
        <v>1641171.68</v>
      </c>
      <c r="D111" s="80">
        <v>2091171.68</v>
      </c>
      <c r="E111" s="80">
        <v>151535.9</v>
      </c>
      <c r="F111" s="80">
        <v>128565.6</v>
      </c>
      <c r="G111" s="80">
        <f t="shared" si="25"/>
        <v>1939635.78</v>
      </c>
    </row>
    <row r="112" spans="1:7" x14ac:dyDescent="0.25">
      <c r="A112" s="84" t="s">
        <v>313</v>
      </c>
      <c r="B112" s="80">
        <v>231620.21</v>
      </c>
      <c r="C112" s="80">
        <v>-74367.259999999995</v>
      </c>
      <c r="D112" s="80">
        <v>157252.95000000001</v>
      </c>
      <c r="E112" s="80">
        <v>49761.42</v>
      </c>
      <c r="F112" s="80">
        <v>45482.42</v>
      </c>
      <c r="G112" s="80">
        <f t="shared" si="25"/>
        <v>107491.53000000001</v>
      </c>
    </row>
    <row r="113" spans="1:7" x14ac:dyDescent="0.25">
      <c r="A113" s="83" t="s">
        <v>314</v>
      </c>
      <c r="B113" s="80">
        <f>SUM(B114:B122)</f>
        <v>13384566.699999999</v>
      </c>
      <c r="C113" s="80">
        <f t="shared" ref="C113:G113" si="26">SUM(C114:C122)</f>
        <v>16864789.68</v>
      </c>
      <c r="D113" s="80">
        <f t="shared" si="26"/>
        <v>30249356.379999999</v>
      </c>
      <c r="E113" s="80">
        <f t="shared" si="26"/>
        <v>3614146</v>
      </c>
      <c r="F113" s="80">
        <f t="shared" si="26"/>
        <v>3526496.94</v>
      </c>
      <c r="G113" s="80">
        <f t="shared" si="26"/>
        <v>26635210.379999999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13384566.699999999</v>
      </c>
      <c r="C117" s="80">
        <v>16864789.68</v>
      </c>
      <c r="D117" s="80">
        <v>30249356.379999999</v>
      </c>
      <c r="E117" s="80">
        <v>3614146</v>
      </c>
      <c r="F117" s="80">
        <v>3526496.94</v>
      </c>
      <c r="G117" s="80">
        <f t="shared" si="27"/>
        <v>26635210.379999999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42429445.799999997</v>
      </c>
      <c r="C123" s="80">
        <f t="shared" ref="C123:G123" si="28">SUM(C124:C132)</f>
        <v>26355669.569999997</v>
      </c>
      <c r="D123" s="80">
        <f t="shared" si="28"/>
        <v>68785115.370000005</v>
      </c>
      <c r="E123" s="80">
        <f t="shared" si="28"/>
        <v>6716867.1399999987</v>
      </c>
      <c r="F123" s="80">
        <f t="shared" si="28"/>
        <v>6241446.46</v>
      </c>
      <c r="G123" s="80">
        <f t="shared" si="28"/>
        <v>62068248.229999997</v>
      </c>
    </row>
    <row r="124" spans="1:7" x14ac:dyDescent="0.25">
      <c r="A124" s="84" t="s">
        <v>325</v>
      </c>
      <c r="B124" s="80">
        <v>8277543.7999999998</v>
      </c>
      <c r="C124" s="80">
        <v>8025950.3099999996</v>
      </c>
      <c r="D124" s="80">
        <v>16303494.109999999</v>
      </c>
      <c r="E124" s="80">
        <v>4790130.5199999996</v>
      </c>
      <c r="F124" s="80">
        <v>4569663.37</v>
      </c>
      <c r="G124" s="80">
        <f>D124-E124</f>
        <v>11513363.59</v>
      </c>
    </row>
    <row r="125" spans="1:7" x14ac:dyDescent="0.25">
      <c r="A125" s="84" t="s">
        <v>326</v>
      </c>
      <c r="B125" s="80">
        <v>100000</v>
      </c>
      <c r="C125" s="80">
        <v>1154249.99</v>
      </c>
      <c r="D125" s="80">
        <v>1254249.99</v>
      </c>
      <c r="E125" s="80">
        <v>62720.93</v>
      </c>
      <c r="F125" s="80">
        <v>48365.32</v>
      </c>
      <c r="G125" s="80">
        <f t="shared" ref="G125:G132" si="29">D125-E125</f>
        <v>1191529.06</v>
      </c>
    </row>
    <row r="126" spans="1:7" x14ac:dyDescent="0.25">
      <c r="A126" s="84" t="s">
        <v>327</v>
      </c>
      <c r="B126" s="80">
        <v>34051902</v>
      </c>
      <c r="C126" s="80">
        <v>13100995.949999999</v>
      </c>
      <c r="D126" s="80">
        <v>47152897.950000003</v>
      </c>
      <c r="E126" s="80">
        <v>1214127</v>
      </c>
      <c r="F126" s="80">
        <v>984215</v>
      </c>
      <c r="G126" s="80">
        <f t="shared" si="29"/>
        <v>45938770.950000003</v>
      </c>
    </row>
    <row r="127" spans="1:7" x14ac:dyDescent="0.25">
      <c r="A127" s="84" t="s">
        <v>328</v>
      </c>
      <c r="B127" s="80">
        <v>0</v>
      </c>
      <c r="C127" s="80">
        <v>129487.9</v>
      </c>
      <c r="D127" s="80">
        <v>129487.9</v>
      </c>
      <c r="E127" s="80">
        <v>0</v>
      </c>
      <c r="F127" s="80">
        <v>0</v>
      </c>
      <c r="G127" s="80">
        <f t="shared" si="29"/>
        <v>129487.9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3399181.97</v>
      </c>
      <c r="D129" s="80">
        <v>3399181.97</v>
      </c>
      <c r="E129" s="80">
        <v>525243.39</v>
      </c>
      <c r="F129" s="80">
        <v>514557.47</v>
      </c>
      <c r="G129" s="80">
        <f t="shared" si="29"/>
        <v>2873938.58</v>
      </c>
    </row>
    <row r="130" spans="1:7" x14ac:dyDescent="0.25">
      <c r="A130" s="84" t="s">
        <v>331</v>
      </c>
      <c r="B130" s="80">
        <v>0</v>
      </c>
      <c r="C130" s="80">
        <v>36500</v>
      </c>
      <c r="D130" s="80">
        <v>36500</v>
      </c>
      <c r="E130" s="80">
        <v>0</v>
      </c>
      <c r="F130" s="80">
        <v>0</v>
      </c>
      <c r="G130" s="80">
        <f t="shared" si="29"/>
        <v>36500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509303.45</v>
      </c>
      <c r="D132" s="80">
        <v>509303.45</v>
      </c>
      <c r="E132" s="80">
        <v>124645.3</v>
      </c>
      <c r="F132" s="80">
        <v>124645.3</v>
      </c>
      <c r="G132" s="80">
        <f t="shared" si="29"/>
        <v>384658.15</v>
      </c>
    </row>
    <row r="133" spans="1:7" x14ac:dyDescent="0.25">
      <c r="A133" s="83" t="s">
        <v>334</v>
      </c>
      <c r="B133" s="80">
        <f>SUM(B134:B136)</f>
        <v>23667568.73</v>
      </c>
      <c r="C133" s="80">
        <f t="shared" ref="C133:G133" si="30">SUM(C134:C136)</f>
        <v>12511162.35</v>
      </c>
      <c r="D133" s="80">
        <f t="shared" si="30"/>
        <v>36178731.079999998</v>
      </c>
      <c r="E133" s="80">
        <f t="shared" si="30"/>
        <v>6353645.0199999996</v>
      </c>
      <c r="F133" s="80">
        <f t="shared" si="30"/>
        <v>6353645.0199999996</v>
      </c>
      <c r="G133" s="80">
        <f t="shared" si="30"/>
        <v>29825086.059999999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23667568.73</v>
      </c>
      <c r="C135" s="80">
        <v>12511162.35</v>
      </c>
      <c r="D135" s="80">
        <v>36178731.079999998</v>
      </c>
      <c r="E135" s="80">
        <v>6353645.0199999996</v>
      </c>
      <c r="F135" s="80">
        <v>6353645.0199999996</v>
      </c>
      <c r="G135" s="80">
        <f t="shared" ref="G135:G136" si="31">D135-E135</f>
        <v>29825086.059999999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4007116009.9899998</v>
      </c>
      <c r="C159" s="79">
        <f t="shared" ref="C159:G159" si="38">C9+C84</f>
        <v>24527969.779999986</v>
      </c>
      <c r="D159" s="79">
        <f t="shared" si="38"/>
        <v>4031643979.77</v>
      </c>
      <c r="E159" s="79">
        <f t="shared" si="38"/>
        <v>2205879254.8299999</v>
      </c>
      <c r="F159" s="79">
        <f t="shared" si="38"/>
        <v>2138494898.3000002</v>
      </c>
      <c r="G159" s="79">
        <f t="shared" si="38"/>
        <v>1825764724.9400001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2001196837.28</v>
      </c>
      <c r="Q2" s="18">
        <f>'Formato 6 a)'!C9</f>
        <v>-77277768.010000005</v>
      </c>
      <c r="R2" s="18">
        <f>'Formato 6 a)'!D9</f>
        <v>1923919069.27</v>
      </c>
      <c r="S2" s="18">
        <f>'Formato 6 a)'!E9</f>
        <v>909120721.86000013</v>
      </c>
      <c r="T2" s="18">
        <f>'Formato 6 a)'!F9</f>
        <v>858556803.73000002</v>
      </c>
      <c r="U2" s="18">
        <f>'Formato 6 a)'!G9</f>
        <v>1014798347.4100001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1084079858.9400001</v>
      </c>
      <c r="Q3" s="18">
        <f>'Formato 6 a)'!C10</f>
        <v>18736061.879999995</v>
      </c>
      <c r="R3" s="18">
        <f>'Formato 6 a)'!D10</f>
        <v>1102815920.8199999</v>
      </c>
      <c r="S3" s="18">
        <f>'Formato 6 a)'!E10</f>
        <v>698889034.33000004</v>
      </c>
      <c r="T3" s="18">
        <f>'Formato 6 a)'!F10</f>
        <v>684664612.74000001</v>
      </c>
      <c r="U3" s="18">
        <f>'Formato 6 a)'!G10</f>
        <v>403926886.49000001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217122542.63</v>
      </c>
      <c r="Q4" s="18">
        <f>'Formato 6 a)'!C11</f>
        <v>-903975.46</v>
      </c>
      <c r="R4" s="18">
        <f>'Formato 6 a)'!D11</f>
        <v>216218567.16999999</v>
      </c>
      <c r="S4" s="18">
        <f>'Formato 6 a)'!E11</f>
        <v>159556233.15000001</v>
      </c>
      <c r="T4" s="18">
        <f>'Formato 6 a)'!F11</f>
        <v>159451211.94</v>
      </c>
      <c r="U4" s="18">
        <f>'Formato 6 a)'!G11</f>
        <v>56662334.019999981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267696386.49000001</v>
      </c>
      <c r="Q5" s="18">
        <f>'Formato 6 a)'!C12</f>
        <v>52225326.200000003</v>
      </c>
      <c r="R5" s="18">
        <f>'Formato 6 a)'!D12</f>
        <v>319921712.69</v>
      </c>
      <c r="S5" s="18">
        <f>'Formato 6 a)'!E12</f>
        <v>174813334.52000001</v>
      </c>
      <c r="T5" s="18">
        <f>'Formato 6 a)'!F12</f>
        <v>174791741.28</v>
      </c>
      <c r="U5" s="18">
        <f>'Formato 6 a)'!G12</f>
        <v>145108378.16999999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119180432.95999999</v>
      </c>
      <c r="Q6" s="18">
        <f>'Formato 6 a)'!C13</f>
        <v>-2077790.17</v>
      </c>
      <c r="R6" s="18">
        <f>'Formato 6 a)'!D13</f>
        <v>117102642.79000001</v>
      </c>
      <c r="S6" s="18">
        <f>'Formato 6 a)'!E13</f>
        <v>65262684.090000004</v>
      </c>
      <c r="T6" s="18">
        <f>'Formato 6 a)'!F13</f>
        <v>65121052.07</v>
      </c>
      <c r="U6" s="18">
        <f>'Formato 6 a)'!G13</f>
        <v>51839958.700000003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130918506.94</v>
      </c>
      <c r="Q7" s="18">
        <f>'Formato 6 a)'!C14</f>
        <v>-98554.52</v>
      </c>
      <c r="R7" s="18">
        <f>'Formato 6 a)'!D14</f>
        <v>130819952.42</v>
      </c>
      <c r="S7" s="18">
        <f>'Formato 6 a)'!E14</f>
        <v>86720483.859999999</v>
      </c>
      <c r="T7" s="18">
        <f>'Formato 6 a)'!F14</f>
        <v>83387960.480000004</v>
      </c>
      <c r="U7" s="18">
        <f>'Formato 6 a)'!G14</f>
        <v>44099468.560000002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250308732.84</v>
      </c>
      <c r="Q8" s="18">
        <f>'Formato 6 a)'!C15</f>
        <v>-46074203.460000001</v>
      </c>
      <c r="R8" s="18">
        <f>'Formato 6 a)'!D15</f>
        <v>204234529.38</v>
      </c>
      <c r="S8" s="18">
        <f>'Formato 6 a)'!E15</f>
        <v>126298851.72</v>
      </c>
      <c r="T8" s="18">
        <f>'Formato 6 a)'!F15</f>
        <v>115678228.25</v>
      </c>
      <c r="U8" s="18">
        <f>'Formato 6 a)'!G15</f>
        <v>77935677.659999996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98853257.079999998</v>
      </c>
      <c r="Q10" s="18">
        <f>'Formato 6 a)'!C17</f>
        <v>15665259.289999999</v>
      </c>
      <c r="R10" s="18">
        <f>'Formato 6 a)'!D17</f>
        <v>114518516.37</v>
      </c>
      <c r="S10" s="18">
        <f>'Formato 6 a)'!E17</f>
        <v>86237446.989999995</v>
      </c>
      <c r="T10" s="18">
        <f>'Formato 6 a)'!F17</f>
        <v>86234418.719999999</v>
      </c>
      <c r="U10" s="18">
        <f>'Formato 6 a)'!G17</f>
        <v>28281069.38000001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63409981.559999995</v>
      </c>
      <c r="Q11" s="18">
        <f>'Formato 6 a)'!C18</f>
        <v>40990401.229999997</v>
      </c>
      <c r="R11" s="18">
        <f>'Formato 6 a)'!D18</f>
        <v>104400382.78999999</v>
      </c>
      <c r="S11" s="18">
        <f>'Formato 6 a)'!E18</f>
        <v>22045893.500000004</v>
      </c>
      <c r="T11" s="18">
        <f>'Formato 6 a)'!F18</f>
        <v>20372724.689999994</v>
      </c>
      <c r="U11" s="18">
        <f>'Formato 6 a)'!G18</f>
        <v>82354489.290000007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19694632.34</v>
      </c>
      <c r="Q12" s="18">
        <f>'Formato 6 a)'!C19</f>
        <v>33728406.520000003</v>
      </c>
      <c r="R12" s="18">
        <f>'Formato 6 a)'!D19</f>
        <v>53423038.859999999</v>
      </c>
      <c r="S12" s="18">
        <f>'Formato 6 a)'!E19</f>
        <v>5535660.0099999998</v>
      </c>
      <c r="T12" s="18">
        <f>'Formato 6 a)'!F19</f>
        <v>5202595.1100000003</v>
      </c>
      <c r="U12" s="18">
        <f>'Formato 6 a)'!G19</f>
        <v>47887378.850000001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8199060.3899999997</v>
      </c>
      <c r="Q13" s="18">
        <f>'Formato 6 a)'!C20</f>
        <v>-1620203.45</v>
      </c>
      <c r="R13" s="18">
        <f>'Formato 6 a)'!D20</f>
        <v>6578856.9400000004</v>
      </c>
      <c r="S13" s="18">
        <f>'Formato 6 a)'!E20</f>
        <v>2100173.64</v>
      </c>
      <c r="T13" s="18">
        <f>'Formato 6 a)'!F20</f>
        <v>2020603.93</v>
      </c>
      <c r="U13" s="18">
        <f>'Formato 6 a)'!G20</f>
        <v>4478683.3000000007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6915815.5599999996</v>
      </c>
      <c r="Q15" s="18">
        <f>'Formato 6 a)'!C22</f>
        <v>864311.74</v>
      </c>
      <c r="R15" s="18">
        <f>'Formato 6 a)'!D22</f>
        <v>7780127.2999999998</v>
      </c>
      <c r="S15" s="18">
        <f>'Formato 6 a)'!E22</f>
        <v>1955300.88</v>
      </c>
      <c r="T15" s="18">
        <f>'Formato 6 a)'!F22</f>
        <v>1809732.5</v>
      </c>
      <c r="U15" s="18">
        <f>'Formato 6 a)'!G22</f>
        <v>5824826.4199999999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10121481.98</v>
      </c>
      <c r="Q16" s="18">
        <f>'Formato 6 a)'!C23</f>
        <v>7831387.8700000001</v>
      </c>
      <c r="R16" s="18">
        <f>'Formato 6 a)'!D23</f>
        <v>17952869.850000001</v>
      </c>
      <c r="S16" s="18">
        <f>'Formato 6 a)'!E23</f>
        <v>7978579.6699999999</v>
      </c>
      <c r="T16" s="18">
        <f>'Formato 6 a)'!F23</f>
        <v>7279106.04</v>
      </c>
      <c r="U16" s="18">
        <f>'Formato 6 a)'!G23</f>
        <v>9974290.1800000016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7064606.8799999999</v>
      </c>
      <c r="Q17" s="18">
        <f>'Formato 6 a)'!C24</f>
        <v>-1046603.24</v>
      </c>
      <c r="R17" s="18">
        <f>'Formato 6 a)'!D24</f>
        <v>6018003.6399999997</v>
      </c>
      <c r="S17" s="18">
        <f>'Formato 6 a)'!E24</f>
        <v>1895962.53</v>
      </c>
      <c r="T17" s="18">
        <f>'Formato 6 a)'!F24</f>
        <v>1839848.58</v>
      </c>
      <c r="U17" s="18">
        <f>'Formato 6 a)'!G24</f>
        <v>4122041.1099999994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9644257.4700000007</v>
      </c>
      <c r="Q18" s="18">
        <f>'Formato 6 a)'!C25</f>
        <v>400343.37</v>
      </c>
      <c r="R18" s="18">
        <f>'Formato 6 a)'!D25</f>
        <v>10044600.84</v>
      </c>
      <c r="S18" s="18">
        <f>'Formato 6 a)'!E25</f>
        <v>1517609.49</v>
      </c>
      <c r="T18" s="18">
        <f>'Formato 6 a)'!F25</f>
        <v>1275384.29</v>
      </c>
      <c r="U18" s="18">
        <f>'Formato 6 a)'!G25</f>
        <v>8526991.3499999996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1770126.94</v>
      </c>
      <c r="Q20" s="18">
        <f>'Formato 6 a)'!C27</f>
        <v>832758.42</v>
      </c>
      <c r="R20" s="18">
        <f>'Formato 6 a)'!D27</f>
        <v>2602885.36</v>
      </c>
      <c r="S20" s="18">
        <f>'Formato 6 a)'!E27</f>
        <v>1062607.28</v>
      </c>
      <c r="T20" s="18">
        <f>'Formato 6 a)'!F27</f>
        <v>945454.24</v>
      </c>
      <c r="U20" s="18">
        <f>'Formato 6 a)'!G27</f>
        <v>1540278.0799999998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302193711.92000002</v>
      </c>
      <c r="Q21" s="18">
        <f>'Formato 6 a)'!C28</f>
        <v>16505332.75</v>
      </c>
      <c r="R21" s="18">
        <f>'Formato 6 a)'!D28</f>
        <v>318699044.67000008</v>
      </c>
      <c r="S21" s="18">
        <f>'Formato 6 a)'!E28</f>
        <v>97799422.599999994</v>
      </c>
      <c r="T21" s="18">
        <f>'Formato 6 a)'!F28</f>
        <v>64838922.459999993</v>
      </c>
      <c r="U21" s="18">
        <f>'Formato 6 a)'!G28</f>
        <v>220899622.06999999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10436788.4</v>
      </c>
      <c r="Q22" s="18">
        <f>'Formato 6 a)'!C29</f>
        <v>1527057.61</v>
      </c>
      <c r="R22" s="18">
        <f>'Formato 6 a)'!D29</f>
        <v>11963846.01</v>
      </c>
      <c r="S22" s="18">
        <f>'Formato 6 a)'!E29</f>
        <v>5762134.6299999999</v>
      </c>
      <c r="T22" s="18">
        <f>'Formato 6 a)'!F29</f>
        <v>5697599.96</v>
      </c>
      <c r="U22" s="18">
        <f>'Formato 6 a)'!G29</f>
        <v>6201711.3799999999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27857609.629999999</v>
      </c>
      <c r="Q23" s="18">
        <f>'Formato 6 a)'!C30</f>
        <v>-8362535.8799999999</v>
      </c>
      <c r="R23" s="18">
        <f>'Formato 6 a)'!D30</f>
        <v>19495073.75</v>
      </c>
      <c r="S23" s="18">
        <f>'Formato 6 a)'!E30</f>
        <v>7641425.1500000004</v>
      </c>
      <c r="T23" s="18">
        <f>'Formato 6 a)'!F30</f>
        <v>7461097.7400000002</v>
      </c>
      <c r="U23" s="18">
        <f>'Formato 6 a)'!G30</f>
        <v>11853648.6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52245112.210000001</v>
      </c>
      <c r="Q24" s="18">
        <f>'Formato 6 a)'!C31</f>
        <v>33878523.020000003</v>
      </c>
      <c r="R24" s="18">
        <f>'Formato 6 a)'!D31</f>
        <v>86123635.230000004</v>
      </c>
      <c r="S24" s="18">
        <f>'Formato 6 a)'!E31</f>
        <v>15218818.810000001</v>
      </c>
      <c r="T24" s="18">
        <f>'Formato 6 a)'!F31</f>
        <v>13836189.41</v>
      </c>
      <c r="U24" s="18">
        <f>'Formato 6 a)'!G31</f>
        <v>70904816.420000002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9014471.1600000001</v>
      </c>
      <c r="Q25" s="18">
        <f>'Formato 6 a)'!C32</f>
        <v>6932446.96</v>
      </c>
      <c r="R25" s="18">
        <f>'Formato 6 a)'!D32</f>
        <v>15946918.119999999</v>
      </c>
      <c r="S25" s="18">
        <f>'Formato 6 a)'!E32</f>
        <v>5296438.6900000004</v>
      </c>
      <c r="T25" s="18">
        <f>'Formato 6 a)'!F32</f>
        <v>5296438.6900000004</v>
      </c>
      <c r="U25" s="18">
        <f>'Formato 6 a)'!G32</f>
        <v>10650479.43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79055277.359999999</v>
      </c>
      <c r="Q26" s="18">
        <f>'Formato 6 a)'!C33</f>
        <v>10757555.140000001</v>
      </c>
      <c r="R26" s="18">
        <f>'Formato 6 a)'!D33</f>
        <v>89812832.5</v>
      </c>
      <c r="S26" s="18">
        <f>'Formato 6 a)'!E33</f>
        <v>23597703.77</v>
      </c>
      <c r="T26" s="18">
        <f>'Formato 6 a)'!F33</f>
        <v>22445297.870000001</v>
      </c>
      <c r="U26" s="18">
        <f>'Formato 6 a)'!G33</f>
        <v>66215128.730000004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15683056.93</v>
      </c>
      <c r="Q27" s="18">
        <f>'Formato 6 a)'!C34</f>
        <v>-4994481.5999999996</v>
      </c>
      <c r="R27" s="18">
        <f>'Formato 6 a)'!D34</f>
        <v>10688575.33</v>
      </c>
      <c r="S27" s="18">
        <f>'Formato 6 a)'!E34</f>
        <v>4148750.44</v>
      </c>
      <c r="T27" s="18">
        <f>'Formato 6 a)'!F34</f>
        <v>3767229.12</v>
      </c>
      <c r="U27" s="18">
        <f>'Formato 6 a)'!G34</f>
        <v>6539824.8900000006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28375414.879999999</v>
      </c>
      <c r="Q28" s="18">
        <f>'Formato 6 a)'!C35</f>
        <v>-12043871.699999999</v>
      </c>
      <c r="R28" s="18">
        <f>'Formato 6 a)'!D35</f>
        <v>16331543.18</v>
      </c>
      <c r="S28" s="18">
        <f>'Formato 6 a)'!E35</f>
        <v>1972331.94</v>
      </c>
      <c r="T28" s="18">
        <f>'Formato 6 a)'!F35</f>
        <v>1928295.18</v>
      </c>
      <c r="U28" s="18">
        <f>'Formato 6 a)'!G35</f>
        <v>14359211.24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35569304.549999997</v>
      </c>
      <c r="Q29" s="18">
        <f>'Formato 6 a)'!C36</f>
        <v>-11517150.42</v>
      </c>
      <c r="R29" s="18">
        <f>'Formato 6 a)'!D36</f>
        <v>24052154.129999999</v>
      </c>
      <c r="S29" s="18">
        <f>'Formato 6 a)'!E36</f>
        <v>4417268.7</v>
      </c>
      <c r="T29" s="18">
        <f>'Formato 6 a)'!F36</f>
        <v>4201084.05</v>
      </c>
      <c r="U29" s="18">
        <f>'Formato 6 a)'!G36</f>
        <v>19634885.43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43956676.799999997</v>
      </c>
      <c r="Q30" s="18">
        <f>'Formato 6 a)'!C37</f>
        <v>327789.62</v>
      </c>
      <c r="R30" s="18">
        <f>'Formato 6 a)'!D37</f>
        <v>44284466.420000002</v>
      </c>
      <c r="S30" s="18">
        <f>'Formato 6 a)'!E37</f>
        <v>29744550.469999999</v>
      </c>
      <c r="T30" s="18">
        <f>'Formato 6 a)'!F37</f>
        <v>205690.44</v>
      </c>
      <c r="U30" s="18">
        <f>'Formato 6 a)'!G37</f>
        <v>14539915.950000003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104057716.83</v>
      </c>
      <c r="Q31" s="18">
        <f>'Formato 6 a)'!C38</f>
        <v>10819986.859999999</v>
      </c>
      <c r="R31" s="18">
        <f>'Formato 6 a)'!D38</f>
        <v>114877703.69</v>
      </c>
      <c r="S31" s="18">
        <f>'Formato 6 a)'!E38</f>
        <v>41577986.119999997</v>
      </c>
      <c r="T31" s="18">
        <f>'Formato 6 a)'!F38</f>
        <v>40727428.979999997</v>
      </c>
      <c r="U31" s="18">
        <f>'Formato 6 a)'!G38</f>
        <v>73299717.569999993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103967716.83</v>
      </c>
      <c r="Q36" s="18">
        <f>'Formato 6 a)'!C43</f>
        <v>10879986.859999999</v>
      </c>
      <c r="R36" s="18">
        <f>'Formato 6 a)'!D43</f>
        <v>114847703.69</v>
      </c>
      <c r="S36" s="18">
        <f>'Formato 6 a)'!E43</f>
        <v>41577986.119999997</v>
      </c>
      <c r="T36" s="18">
        <f>'Formato 6 a)'!F43</f>
        <v>40727428.979999997</v>
      </c>
      <c r="U36" s="18">
        <f>'Formato 6 a)'!G43</f>
        <v>73269717.569999993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90000</v>
      </c>
      <c r="Q40" s="18">
        <f>'Formato 6 a)'!C47</f>
        <v>-60000</v>
      </c>
      <c r="R40" s="18">
        <f>'Formato 6 a)'!D47</f>
        <v>30000</v>
      </c>
      <c r="S40" s="18">
        <f>'Formato 6 a)'!E47</f>
        <v>0</v>
      </c>
      <c r="T40" s="18">
        <f>'Formato 6 a)'!F47</f>
        <v>0</v>
      </c>
      <c r="U40" s="18">
        <f>'Formato 6 a)'!G47</f>
        <v>30000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213706768.25</v>
      </c>
      <c r="Q41" s="18">
        <f>'Formato 6 a)'!C48</f>
        <v>-20917403</v>
      </c>
      <c r="R41" s="18">
        <f>'Formato 6 a)'!D48</f>
        <v>192789365.25</v>
      </c>
      <c r="S41" s="18">
        <f>'Formato 6 a)'!E48</f>
        <v>24405544.109999999</v>
      </c>
      <c r="T41" s="18">
        <f>'Formato 6 a)'!F48</f>
        <v>23645242.400000002</v>
      </c>
      <c r="U41" s="18">
        <f>'Formato 6 a)'!G48</f>
        <v>168383821.14000002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116826179.29000001</v>
      </c>
      <c r="Q42" s="18">
        <f>'Formato 6 a)'!C49</f>
        <v>-33216312.690000001</v>
      </c>
      <c r="R42" s="18">
        <f>'Formato 6 a)'!D49</f>
        <v>83609866.599999994</v>
      </c>
      <c r="S42" s="18">
        <f>'Formato 6 a)'!E49</f>
        <v>8160330.0700000003</v>
      </c>
      <c r="T42" s="18">
        <f>'Formato 6 a)'!F49</f>
        <v>7849634.0700000003</v>
      </c>
      <c r="U42" s="18">
        <f>'Formato 6 a)'!G49</f>
        <v>75449536.530000001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6998261.3099999996</v>
      </c>
      <c r="Q43" s="18">
        <f>'Formato 6 a)'!C50</f>
        <v>10138998.32</v>
      </c>
      <c r="R43" s="18">
        <f>'Formato 6 a)'!D50</f>
        <v>17137259.629999999</v>
      </c>
      <c r="S43" s="18">
        <f>'Formato 6 a)'!E50</f>
        <v>4135294.45</v>
      </c>
      <c r="T43" s="18">
        <f>'Formato 6 a)'!F50</f>
        <v>4111094.06</v>
      </c>
      <c r="U43" s="18">
        <f>'Formato 6 a)'!G50</f>
        <v>13001965.18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64071487.920000002</v>
      </c>
      <c r="Q44" s="18">
        <f>'Formato 6 a)'!C51</f>
        <v>-2809676.42</v>
      </c>
      <c r="R44" s="18">
        <f>'Formato 6 a)'!D51</f>
        <v>61261811.5</v>
      </c>
      <c r="S44" s="18">
        <f>'Formato 6 a)'!E51</f>
        <v>5727207.9900000002</v>
      </c>
      <c r="T44" s="18">
        <f>'Formato 6 a)'!F51</f>
        <v>5534664.9199999999</v>
      </c>
      <c r="U44" s="18">
        <f>'Formato 6 a)'!G51</f>
        <v>55534603.509999998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11555700</v>
      </c>
      <c r="Q45" s="18">
        <f>'Formato 6 a)'!C52</f>
        <v>121849.55</v>
      </c>
      <c r="R45" s="18">
        <f>'Formato 6 a)'!D52</f>
        <v>11677549.550000001</v>
      </c>
      <c r="S45" s="18">
        <f>'Formato 6 a)'!E52</f>
        <v>0</v>
      </c>
      <c r="T45" s="18">
        <f>'Formato 6 a)'!F52</f>
        <v>0</v>
      </c>
      <c r="U45" s="18">
        <f>'Formato 6 a)'!G52</f>
        <v>11677549.550000001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13611265.73</v>
      </c>
      <c r="Q47" s="18">
        <f>'Formato 6 a)'!C54</f>
        <v>3802833.09</v>
      </c>
      <c r="R47" s="18">
        <f>'Formato 6 a)'!D54</f>
        <v>17414098.82</v>
      </c>
      <c r="S47" s="18">
        <f>'Formato 6 a)'!E54</f>
        <v>6088989.6399999997</v>
      </c>
      <c r="T47" s="18">
        <f>'Formato 6 a)'!F54</f>
        <v>5856127.3899999997</v>
      </c>
      <c r="U47" s="18">
        <f>'Formato 6 a)'!G54</f>
        <v>11325109.18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643874</v>
      </c>
      <c r="Q50" s="18">
        <f>'Formato 6 a)'!C57</f>
        <v>1044905.15</v>
      </c>
      <c r="R50" s="18">
        <f>'Formato 6 a)'!D57</f>
        <v>1688779.15</v>
      </c>
      <c r="S50" s="18">
        <f>'Formato 6 a)'!E57</f>
        <v>293721.96000000002</v>
      </c>
      <c r="T50" s="18">
        <f>'Formato 6 a)'!F57</f>
        <v>293721.96000000002</v>
      </c>
      <c r="U50" s="18">
        <f>'Formato 6 a)'!G57</f>
        <v>1395057.19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233748799.78</v>
      </c>
      <c r="Q51" s="18">
        <f>'Formato 6 a)'!C58</f>
        <v>-143412147.72999999</v>
      </c>
      <c r="R51" s="18">
        <f>'Formato 6 a)'!D58</f>
        <v>90336652.049999997</v>
      </c>
      <c r="S51" s="18">
        <f>'Formato 6 a)'!E58</f>
        <v>24402841.199999999</v>
      </c>
      <c r="T51" s="18">
        <f>'Formato 6 a)'!F58</f>
        <v>24307872.460000001</v>
      </c>
      <c r="U51" s="18">
        <f>'Formato 6 a)'!G58</f>
        <v>65933810.849999994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233748799.78</v>
      </c>
      <c r="Q53" s="18">
        <f>'Formato 6 a)'!C60</f>
        <v>-143412147.72999999</v>
      </c>
      <c r="R53" s="18">
        <f>'Formato 6 a)'!D60</f>
        <v>90336652.049999997</v>
      </c>
      <c r="S53" s="18">
        <f>'Formato 6 a)'!E60</f>
        <v>24402841.199999999</v>
      </c>
      <c r="T53" s="18">
        <f>'Formato 6 a)'!F60</f>
        <v>24307872.460000001</v>
      </c>
      <c r="U53" s="18">
        <f>'Formato 6 a)'!G60</f>
        <v>65933810.849999994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2005919172.7099998</v>
      </c>
      <c r="Q76">
        <f>'Formato 6 a)'!C84</f>
        <v>101805737.78999999</v>
      </c>
      <c r="R76">
        <f>'Formato 6 a)'!D84</f>
        <v>2107724910.5</v>
      </c>
      <c r="S76">
        <f>'Formato 6 a)'!E84</f>
        <v>1296758532.97</v>
      </c>
      <c r="T76">
        <f>'Formato 6 a)'!F84</f>
        <v>1279938094.5700002</v>
      </c>
      <c r="U76">
        <f>'Formato 6 a)'!G84</f>
        <v>810966377.52999985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1787651320.4699998</v>
      </c>
      <c r="Q77">
        <f>'Formato 6 a)'!C85</f>
        <v>-15839995.219999997</v>
      </c>
      <c r="R77">
        <f>'Formato 6 a)'!D85</f>
        <v>1771811325.25</v>
      </c>
      <c r="S77">
        <f>'Formato 6 a)'!E85</f>
        <v>1227607884.03</v>
      </c>
      <c r="T77">
        <f>'Formato 6 a)'!F85</f>
        <v>1212648776.3499999</v>
      </c>
      <c r="U77">
        <f>'Formato 6 a)'!G85</f>
        <v>544203441.21999991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490463555.50999999</v>
      </c>
      <c r="Q78">
        <f>'Formato 6 a)'!C86</f>
        <v>10764732.91</v>
      </c>
      <c r="R78">
        <f>'Formato 6 a)'!D86</f>
        <v>501228288.42000002</v>
      </c>
      <c r="S78">
        <f>'Formato 6 a)'!E86</f>
        <v>370898204.55000001</v>
      </c>
      <c r="T78">
        <f>'Formato 6 a)'!F86</f>
        <v>370893255.00999999</v>
      </c>
      <c r="U78">
        <f>'Formato 6 a)'!G86</f>
        <v>130330083.87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29023255.43</v>
      </c>
      <c r="Q79">
        <f>'Formato 6 a)'!C87</f>
        <v>16245128.66</v>
      </c>
      <c r="R79">
        <f>'Formato 6 a)'!D87</f>
        <v>45268384.090000004</v>
      </c>
      <c r="S79">
        <f>'Formato 6 a)'!E87</f>
        <v>40674559.200000003</v>
      </c>
      <c r="T79">
        <f>'Formato 6 a)'!F87</f>
        <v>40674558.469999999</v>
      </c>
      <c r="U79">
        <f>'Formato 6 a)'!G87</f>
        <v>4593824.8900000006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229008695.18000001</v>
      </c>
      <c r="Q80">
        <f>'Formato 6 a)'!C88</f>
        <v>3332331.8</v>
      </c>
      <c r="R80">
        <f>'Formato 6 a)'!D88</f>
        <v>232341026.97999999</v>
      </c>
      <c r="S80">
        <f>'Formato 6 a)'!E88</f>
        <v>120575996.76000001</v>
      </c>
      <c r="T80">
        <f>'Formato 6 a)'!F88</f>
        <v>120535113.86</v>
      </c>
      <c r="U80">
        <f>'Formato 6 a)'!G88</f>
        <v>111765030.21999998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261584106.18000001</v>
      </c>
      <c r="Q81">
        <f>'Formato 6 a)'!C89</f>
        <v>4623098.54</v>
      </c>
      <c r="R81">
        <f>'Formato 6 a)'!D89</f>
        <v>266207204.72</v>
      </c>
      <c r="S81">
        <f>'Formato 6 a)'!E89</f>
        <v>170380216.31</v>
      </c>
      <c r="T81">
        <f>'Formato 6 a)'!F89</f>
        <v>162260103.18000001</v>
      </c>
      <c r="U81">
        <f>'Formato 6 a)'!G89</f>
        <v>95826988.409999996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551009622.64999998</v>
      </c>
      <c r="Q82">
        <f>'Formato 6 a)'!C90</f>
        <v>-35292653.5</v>
      </c>
      <c r="R82">
        <f>'Formato 6 a)'!D90</f>
        <v>515716969.14999998</v>
      </c>
      <c r="S82">
        <f>'Formato 6 a)'!E90</f>
        <v>369423732.41000003</v>
      </c>
      <c r="T82">
        <f>'Formato 6 a)'!F90</f>
        <v>362630571.58999997</v>
      </c>
      <c r="U82">
        <f>'Formato 6 a)'!G90</f>
        <v>146293236.73999995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226562085.52000001</v>
      </c>
      <c r="Q84">
        <f>'Formato 6 a)'!C92</f>
        <v>-15512633.630000001</v>
      </c>
      <c r="R84">
        <f>'Formato 6 a)'!D92</f>
        <v>211049451.88999999</v>
      </c>
      <c r="S84">
        <f>'Formato 6 a)'!E92</f>
        <v>155655174.80000001</v>
      </c>
      <c r="T84">
        <f>'Formato 6 a)'!F92</f>
        <v>155655174.24000001</v>
      </c>
      <c r="U84">
        <f>'Formato 6 a)'!G92</f>
        <v>55394277.089999974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61029740.469999991</v>
      </c>
      <c r="Q85">
        <f>'Formato 6 a)'!C93</f>
        <v>13061121.210000001</v>
      </c>
      <c r="R85">
        <f>'Formato 6 a)'!D93</f>
        <v>74090861.680000007</v>
      </c>
      <c r="S85">
        <f>'Formato 6 a)'!E93</f>
        <v>23001880.210000001</v>
      </c>
      <c r="T85">
        <f>'Formato 6 a)'!F93</f>
        <v>22152893.68</v>
      </c>
      <c r="U85">
        <f>'Formato 6 a)'!G93</f>
        <v>51088981.470000014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16160960.01</v>
      </c>
      <c r="Q86">
        <f>'Formato 6 a)'!C94</f>
        <v>6215474.5099999998</v>
      </c>
      <c r="R86">
        <f>'Formato 6 a)'!D94</f>
        <v>22376434.52</v>
      </c>
      <c r="S86">
        <f>'Formato 6 a)'!E94</f>
        <v>7796790.9000000004</v>
      </c>
      <c r="T86">
        <f>'Formato 6 a)'!F94</f>
        <v>7551803.1299999999</v>
      </c>
      <c r="U86">
        <f>'Formato 6 a)'!G94</f>
        <v>14579643.619999999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5543746</v>
      </c>
      <c r="Q87">
        <f>'Formato 6 a)'!C95</f>
        <v>-750326.26</v>
      </c>
      <c r="R87">
        <f>'Formato 6 a)'!D95</f>
        <v>4793419.74</v>
      </c>
      <c r="S87">
        <f>'Formato 6 a)'!E95</f>
        <v>1706407.87</v>
      </c>
      <c r="T87">
        <f>'Formato 6 a)'!F95</f>
        <v>1670694.42</v>
      </c>
      <c r="U87">
        <f>'Formato 6 a)'!G95</f>
        <v>3087011.87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3096950.25</v>
      </c>
      <c r="Q89">
        <f>'Formato 6 a)'!C97</f>
        <v>1623239.94</v>
      </c>
      <c r="R89">
        <f>'Formato 6 a)'!D97</f>
        <v>4720190.1900000004</v>
      </c>
      <c r="S89">
        <f>'Formato 6 a)'!E97</f>
        <v>2589796.84</v>
      </c>
      <c r="T89">
        <f>'Formato 6 a)'!F97</f>
        <v>2530764.8199999998</v>
      </c>
      <c r="U89">
        <f>'Formato 6 a)'!G97</f>
        <v>2130393.3500000006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21904432.120000001</v>
      </c>
      <c r="Q90">
        <f>'Formato 6 a)'!C98</f>
        <v>5555499.8399999999</v>
      </c>
      <c r="R90">
        <f>'Formato 6 a)'!D98</f>
        <v>27459931.960000001</v>
      </c>
      <c r="S90">
        <f>'Formato 6 a)'!E98</f>
        <v>4383717.82</v>
      </c>
      <c r="T90">
        <f>'Formato 6 a)'!F98</f>
        <v>4189163.63</v>
      </c>
      <c r="U90">
        <f>'Formato 6 a)'!G98</f>
        <v>23076214.140000001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9813646.1400000006</v>
      </c>
      <c r="Q91">
        <f>'Formato 6 a)'!C99</f>
        <v>-1245891.94</v>
      </c>
      <c r="R91">
        <f>'Formato 6 a)'!D99</f>
        <v>8567754.1999999993</v>
      </c>
      <c r="S91">
        <f>'Formato 6 a)'!E99</f>
        <v>3444681.5</v>
      </c>
      <c r="T91">
        <f>'Formato 6 a)'!F99</f>
        <v>3339459.16</v>
      </c>
      <c r="U91">
        <f>'Formato 6 a)'!G99</f>
        <v>5123072.6999999993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298516.90000000002</v>
      </c>
      <c r="Q92">
        <f>'Formato 6 a)'!C100</f>
        <v>848985.41</v>
      </c>
      <c r="R92">
        <f>'Formato 6 a)'!D100</f>
        <v>1147502.31</v>
      </c>
      <c r="S92">
        <f>'Formato 6 a)'!E100</f>
        <v>694906.11</v>
      </c>
      <c r="T92">
        <f>'Formato 6 a)'!F100</f>
        <v>639036.91</v>
      </c>
      <c r="U92">
        <f>'Formato 6 a)'!G100</f>
        <v>452596.20000000007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4211489.05</v>
      </c>
      <c r="Q94">
        <f>'Formato 6 a)'!C102</f>
        <v>814139.71</v>
      </c>
      <c r="R94">
        <f>'Formato 6 a)'!D102</f>
        <v>5025628.76</v>
      </c>
      <c r="S94">
        <f>'Formato 6 a)'!E102</f>
        <v>2385579.17</v>
      </c>
      <c r="T94">
        <f>'Formato 6 a)'!F102</f>
        <v>2231971.61</v>
      </c>
      <c r="U94">
        <f>'Formato 6 a)'!G102</f>
        <v>2640049.59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77756530.539999992</v>
      </c>
      <c r="Q95">
        <f>'Formato 6 a)'!C103</f>
        <v>48852990.200000003</v>
      </c>
      <c r="R95">
        <f>'Formato 6 a)'!D103</f>
        <v>126609520.73999999</v>
      </c>
      <c r="S95">
        <f>'Formato 6 a)'!E103</f>
        <v>29464110.57</v>
      </c>
      <c r="T95">
        <f>'Formato 6 a)'!F103</f>
        <v>29014836.120000005</v>
      </c>
      <c r="U95">
        <f>'Formato 6 a)'!G103</f>
        <v>97145410.170000002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38215073.329999998</v>
      </c>
      <c r="Q96">
        <f>'Formato 6 a)'!C104</f>
        <v>-4792770.75</v>
      </c>
      <c r="R96">
        <f>'Formato 6 a)'!D104</f>
        <v>33422302.579999998</v>
      </c>
      <c r="S96">
        <f>'Formato 6 a)'!E104</f>
        <v>18504889.07</v>
      </c>
      <c r="T96">
        <f>'Formato 6 a)'!F104</f>
        <v>18476024.039999999</v>
      </c>
      <c r="U96">
        <f>'Formato 6 a)'!G104</f>
        <v>14917413.509999998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14149399.970000001</v>
      </c>
      <c r="Q97">
        <f>'Formato 6 a)'!C105</f>
        <v>3808371.5</v>
      </c>
      <c r="R97">
        <f>'Formato 6 a)'!D105</f>
        <v>17957771.469999999</v>
      </c>
      <c r="S97">
        <f>'Formato 6 a)'!E105</f>
        <v>3696219.72</v>
      </c>
      <c r="T97">
        <f>'Formato 6 a)'!F105</f>
        <v>3589664.67</v>
      </c>
      <c r="U97">
        <f>'Formato 6 a)'!G105</f>
        <v>14261551.749999998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8236995.5099999998</v>
      </c>
      <c r="Q98">
        <f>'Formato 6 a)'!C106</f>
        <v>4262019.96</v>
      </c>
      <c r="R98">
        <f>'Formato 6 a)'!D106</f>
        <v>12499015.470000001</v>
      </c>
      <c r="S98">
        <f>'Formato 6 a)'!E106</f>
        <v>1745602.28</v>
      </c>
      <c r="T98">
        <f>'Formato 6 a)'!F106</f>
        <v>1671126.24</v>
      </c>
      <c r="U98">
        <f>'Formato 6 a)'!G106</f>
        <v>10753413.190000001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1412984.26</v>
      </c>
      <c r="Q99">
        <f>'Formato 6 a)'!C107</f>
        <v>9143795.5099999998</v>
      </c>
      <c r="R99">
        <f>'Formato 6 a)'!D107</f>
        <v>10556779.77</v>
      </c>
      <c r="S99">
        <f>'Formato 6 a)'!E107</f>
        <v>899548.55</v>
      </c>
      <c r="T99">
        <f>'Formato 6 a)'!F107</f>
        <v>899548.55</v>
      </c>
      <c r="U99">
        <f>'Formato 6 a)'!G107</f>
        <v>9657231.2199999988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5761074.6399999997</v>
      </c>
      <c r="Q100">
        <f>'Formato 6 a)'!C108</f>
        <v>1301092.98</v>
      </c>
      <c r="R100">
        <f>'Formato 6 a)'!D108</f>
        <v>7062167.6200000001</v>
      </c>
      <c r="S100">
        <f>'Formato 6 a)'!E108</f>
        <v>2733548.43</v>
      </c>
      <c r="T100">
        <f>'Formato 6 a)'!F108</f>
        <v>2593845.46</v>
      </c>
      <c r="U100">
        <f>'Formato 6 a)'!G108</f>
        <v>4328619.1899999995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550403.06999999995</v>
      </c>
      <c r="R101">
        <f>'Formato 6 a)'!D109</f>
        <v>550403.06999999995</v>
      </c>
      <c r="S101">
        <f>'Formato 6 a)'!E109</f>
        <v>163058.88</v>
      </c>
      <c r="T101">
        <f>'Formato 6 a)'!F109</f>
        <v>163058.88</v>
      </c>
      <c r="U101">
        <f>'Formato 6 a)'!G109</f>
        <v>387344.18999999994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9299382.6199999992</v>
      </c>
      <c r="Q102">
        <f>'Formato 6 a)'!C110</f>
        <v>33013273.510000002</v>
      </c>
      <c r="R102">
        <f>'Formato 6 a)'!D110</f>
        <v>42312656.130000003</v>
      </c>
      <c r="S102">
        <f>'Formato 6 a)'!E110</f>
        <v>1519946.32</v>
      </c>
      <c r="T102">
        <f>'Formato 6 a)'!F110</f>
        <v>1447520.26</v>
      </c>
      <c r="U102">
        <f>'Formato 6 a)'!G110</f>
        <v>40792709.810000002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450000</v>
      </c>
      <c r="Q103">
        <f>'Formato 6 a)'!C111</f>
        <v>1641171.68</v>
      </c>
      <c r="R103">
        <f>'Formato 6 a)'!D111</f>
        <v>2091171.68</v>
      </c>
      <c r="S103">
        <f>'Formato 6 a)'!E111</f>
        <v>151535.9</v>
      </c>
      <c r="T103">
        <f>'Formato 6 a)'!F111</f>
        <v>128565.6</v>
      </c>
      <c r="U103">
        <f>'Formato 6 a)'!G111</f>
        <v>1939635.78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231620.21</v>
      </c>
      <c r="Q104">
        <f>'Formato 6 a)'!C112</f>
        <v>-74367.259999999995</v>
      </c>
      <c r="R104">
        <f>'Formato 6 a)'!D112</f>
        <v>157252.95000000001</v>
      </c>
      <c r="S104">
        <f>'Formato 6 a)'!E112</f>
        <v>49761.42</v>
      </c>
      <c r="T104">
        <f>'Formato 6 a)'!F112</f>
        <v>45482.42</v>
      </c>
      <c r="U104">
        <f>'Formato 6 a)'!G112</f>
        <v>107491.53000000001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13384566.699999999</v>
      </c>
      <c r="Q105">
        <f>'Formato 6 a)'!C113</f>
        <v>16864789.68</v>
      </c>
      <c r="R105">
        <f>'Formato 6 a)'!D113</f>
        <v>30249356.379999999</v>
      </c>
      <c r="S105">
        <f>'Formato 6 a)'!E113</f>
        <v>3614146</v>
      </c>
      <c r="T105">
        <f>'Formato 6 a)'!F113</f>
        <v>3526496.94</v>
      </c>
      <c r="U105">
        <f>'Formato 6 a)'!G113</f>
        <v>26635210.379999999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13384566.699999999</v>
      </c>
      <c r="Q109">
        <f>'Formato 6 a)'!C117</f>
        <v>16864789.68</v>
      </c>
      <c r="R109">
        <f>'Formato 6 a)'!D117</f>
        <v>30249356.379999999</v>
      </c>
      <c r="S109">
        <f>'Formato 6 a)'!E117</f>
        <v>3614146</v>
      </c>
      <c r="T109">
        <f>'Formato 6 a)'!F117</f>
        <v>3526496.94</v>
      </c>
      <c r="U109">
        <f>'Formato 6 a)'!G117</f>
        <v>26635210.379999999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42429445.799999997</v>
      </c>
      <c r="Q115">
        <f>'Formato 6 a)'!C123</f>
        <v>26355669.569999997</v>
      </c>
      <c r="R115">
        <f>'Formato 6 a)'!D123</f>
        <v>68785115.370000005</v>
      </c>
      <c r="S115">
        <f>'Formato 6 a)'!E123</f>
        <v>6716867.1399999987</v>
      </c>
      <c r="T115">
        <f>'Formato 6 a)'!F123</f>
        <v>6241446.46</v>
      </c>
      <c r="U115">
        <f>'Formato 6 a)'!G123</f>
        <v>62068248.229999997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8277543.7999999998</v>
      </c>
      <c r="Q116">
        <f>'Formato 6 a)'!C124</f>
        <v>8025950.3099999996</v>
      </c>
      <c r="R116">
        <f>'Formato 6 a)'!D124</f>
        <v>16303494.109999999</v>
      </c>
      <c r="S116">
        <f>'Formato 6 a)'!E124</f>
        <v>4790130.5199999996</v>
      </c>
      <c r="T116">
        <f>'Formato 6 a)'!F124</f>
        <v>4569663.37</v>
      </c>
      <c r="U116">
        <f>'Formato 6 a)'!G124</f>
        <v>11513363.59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100000</v>
      </c>
      <c r="Q117">
        <f>'Formato 6 a)'!C125</f>
        <v>1154249.99</v>
      </c>
      <c r="R117">
        <f>'Formato 6 a)'!D125</f>
        <v>1254249.99</v>
      </c>
      <c r="S117">
        <f>'Formato 6 a)'!E125</f>
        <v>62720.93</v>
      </c>
      <c r="T117">
        <f>'Formato 6 a)'!F125</f>
        <v>48365.32</v>
      </c>
      <c r="U117">
        <f>'Formato 6 a)'!G125</f>
        <v>1191529.06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34051902</v>
      </c>
      <c r="Q118">
        <f>'Formato 6 a)'!C126</f>
        <v>13100995.949999999</v>
      </c>
      <c r="R118">
        <f>'Formato 6 a)'!D126</f>
        <v>47152897.950000003</v>
      </c>
      <c r="S118">
        <f>'Formato 6 a)'!E126</f>
        <v>1214127</v>
      </c>
      <c r="T118">
        <f>'Formato 6 a)'!F126</f>
        <v>984215</v>
      </c>
      <c r="U118">
        <f>'Formato 6 a)'!G126</f>
        <v>45938770.950000003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129487.9</v>
      </c>
      <c r="R119">
        <f>'Formato 6 a)'!D127</f>
        <v>129487.9</v>
      </c>
      <c r="S119">
        <f>'Formato 6 a)'!E127</f>
        <v>0</v>
      </c>
      <c r="T119">
        <f>'Formato 6 a)'!F127</f>
        <v>0</v>
      </c>
      <c r="U119">
        <f>'Formato 6 a)'!G127</f>
        <v>129487.9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3399181.97</v>
      </c>
      <c r="R121">
        <f>'Formato 6 a)'!D129</f>
        <v>3399181.97</v>
      </c>
      <c r="S121">
        <f>'Formato 6 a)'!E129</f>
        <v>525243.39</v>
      </c>
      <c r="T121">
        <f>'Formato 6 a)'!F129</f>
        <v>514557.47</v>
      </c>
      <c r="U121">
        <f>'Formato 6 a)'!G129</f>
        <v>2873938.58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36500</v>
      </c>
      <c r="R122">
        <f>'Formato 6 a)'!D130</f>
        <v>36500</v>
      </c>
      <c r="S122">
        <f>'Formato 6 a)'!E130</f>
        <v>0</v>
      </c>
      <c r="T122">
        <f>'Formato 6 a)'!F130</f>
        <v>0</v>
      </c>
      <c r="U122">
        <f>'Formato 6 a)'!G130</f>
        <v>36500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509303.45</v>
      </c>
      <c r="R124">
        <f>'Formato 6 a)'!D132</f>
        <v>509303.45</v>
      </c>
      <c r="S124">
        <f>'Formato 6 a)'!E132</f>
        <v>124645.3</v>
      </c>
      <c r="T124">
        <f>'Formato 6 a)'!F132</f>
        <v>124645.3</v>
      </c>
      <c r="U124">
        <f>'Formato 6 a)'!G132</f>
        <v>384658.15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23667568.73</v>
      </c>
      <c r="Q125">
        <f>'Formato 6 a)'!C133</f>
        <v>12511162.35</v>
      </c>
      <c r="R125">
        <f>'Formato 6 a)'!D133</f>
        <v>36178731.079999998</v>
      </c>
      <c r="S125">
        <f>'Formato 6 a)'!E133</f>
        <v>6353645.0199999996</v>
      </c>
      <c r="T125">
        <f>'Formato 6 a)'!F133</f>
        <v>6353645.0199999996</v>
      </c>
      <c r="U125">
        <f>'Formato 6 a)'!G133</f>
        <v>29825086.059999999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23667568.73</v>
      </c>
      <c r="Q127">
        <f>'Formato 6 a)'!C135</f>
        <v>12511162.35</v>
      </c>
      <c r="R127">
        <f>'Formato 6 a)'!D135</f>
        <v>36178731.079999998</v>
      </c>
      <c r="S127">
        <f>'Formato 6 a)'!E135</f>
        <v>6353645.0199999996</v>
      </c>
      <c r="T127">
        <f>'Formato 6 a)'!F135</f>
        <v>6353645.0199999996</v>
      </c>
      <c r="U127">
        <f>'Formato 6 a)'!G135</f>
        <v>29825086.059999999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4007116009.9899998</v>
      </c>
      <c r="Q150">
        <f>'Formato 6 a)'!C159</f>
        <v>24527969.779999986</v>
      </c>
      <c r="R150">
        <f>'Formato 6 a)'!D159</f>
        <v>4031643979.77</v>
      </c>
      <c r="S150">
        <f>'Formato 6 a)'!E159</f>
        <v>2205879254.8299999</v>
      </c>
      <c r="T150">
        <f>'Formato 6 a)'!F159</f>
        <v>2138494898.3000002</v>
      </c>
      <c r="U150">
        <f>'Formato 6 a)'!G159</f>
        <v>1825764724.9400001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G26" sqref="G26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4" t="s">
        <v>3290</v>
      </c>
      <c r="B1" s="174"/>
      <c r="C1" s="174"/>
      <c r="D1" s="174"/>
      <c r="E1" s="174"/>
      <c r="F1" s="174"/>
      <c r="G1" s="174"/>
    </row>
    <row r="2" spans="1:7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277</v>
      </c>
      <c r="B3" s="159"/>
      <c r="C3" s="159"/>
      <c r="D3" s="159"/>
      <c r="E3" s="159"/>
      <c r="F3" s="159"/>
      <c r="G3" s="160"/>
    </row>
    <row r="4" spans="1:7" x14ac:dyDescent="0.25">
      <c r="A4" s="158" t="s">
        <v>431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30 de septiembre de 2020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0</v>
      </c>
      <c r="B7" s="172" t="s">
        <v>279</v>
      </c>
      <c r="C7" s="172"/>
      <c r="D7" s="172"/>
      <c r="E7" s="172"/>
      <c r="F7" s="172"/>
      <c r="G7" s="176" t="s">
        <v>280</v>
      </c>
    </row>
    <row r="8" spans="1:7" ht="30" x14ac:dyDescent="0.25">
      <c r="A8" s="17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5"/>
    </row>
    <row r="9" spans="1:7" ht="14.25" x14ac:dyDescent="0.45">
      <c r="A9" s="52" t="s">
        <v>440</v>
      </c>
      <c r="B9" s="59">
        <f>SUM(B10:GASTO_NE_FIN_01)</f>
        <v>2001196837.2799997</v>
      </c>
      <c r="C9" s="59">
        <f>SUM(C10:GASTO_NE_FIN_02)</f>
        <v>-77277768.01000002</v>
      </c>
      <c r="D9" s="59">
        <f>SUM(D10:GASTO_NE_FIN_03)</f>
        <v>1923919069.27</v>
      </c>
      <c r="E9" s="59">
        <f>SUM(E10:GASTO_NE_FIN_04)</f>
        <v>909120721.86000013</v>
      </c>
      <c r="F9" s="59">
        <f>SUM(F10:GASTO_NE_FIN_05)</f>
        <v>858556803.73000002</v>
      </c>
      <c r="G9" s="59">
        <f>SUM(G10:GASTO_NE_FIN_06)</f>
        <v>1014798347.4100001</v>
      </c>
    </row>
    <row r="10" spans="1:7" s="24" customFormat="1" x14ac:dyDescent="0.25">
      <c r="A10" s="144" t="s">
        <v>432</v>
      </c>
      <c r="B10" s="60">
        <v>1275172204.54</v>
      </c>
      <c r="C10" s="60">
        <v>-222676781.33000001</v>
      </c>
      <c r="D10" s="60">
        <v>1052495423.21</v>
      </c>
      <c r="E10" s="60">
        <v>479976792.51999998</v>
      </c>
      <c r="F10" s="60">
        <v>464705907.82999998</v>
      </c>
      <c r="G10" s="77">
        <f>D10-E10</f>
        <v>572518630.69000006</v>
      </c>
    </row>
    <row r="11" spans="1:7" s="24" customFormat="1" x14ac:dyDescent="0.25">
      <c r="A11" s="144" t="s">
        <v>433</v>
      </c>
      <c r="B11" s="60">
        <v>234610154.84</v>
      </c>
      <c r="C11" s="60">
        <v>58240979.630000003</v>
      </c>
      <c r="D11" s="60">
        <v>292851134.47000003</v>
      </c>
      <c r="E11" s="60">
        <v>153345252.02000001</v>
      </c>
      <c r="F11" s="60">
        <v>138796387.50999999</v>
      </c>
      <c r="G11" s="77">
        <f t="shared" ref="G11:G17" si="0">D11-E11</f>
        <v>139505882.45000002</v>
      </c>
    </row>
    <row r="12" spans="1:7" s="24" customFormat="1" x14ac:dyDescent="0.25">
      <c r="A12" s="144" t="s">
        <v>434</v>
      </c>
      <c r="B12" s="60">
        <v>147766269.03999999</v>
      </c>
      <c r="C12" s="60">
        <v>49608984.299999997</v>
      </c>
      <c r="D12" s="60">
        <v>197375253.34</v>
      </c>
      <c r="E12" s="60">
        <v>85500906.700000003</v>
      </c>
      <c r="F12" s="60">
        <v>80173167.200000003</v>
      </c>
      <c r="G12" s="77">
        <f t="shared" si="0"/>
        <v>111874346.64</v>
      </c>
    </row>
    <row r="13" spans="1:7" s="24" customFormat="1" x14ac:dyDescent="0.25">
      <c r="A13" s="144" t="s">
        <v>435</v>
      </c>
      <c r="B13" s="60">
        <v>109663741.95999999</v>
      </c>
      <c r="C13" s="60">
        <v>20432789.219999999</v>
      </c>
      <c r="D13" s="60">
        <v>130096531.18000001</v>
      </c>
      <c r="E13" s="60">
        <v>71325553.340000004</v>
      </c>
      <c r="F13" s="60">
        <v>66151449.75</v>
      </c>
      <c r="G13" s="77">
        <f t="shared" si="0"/>
        <v>58770977.840000004</v>
      </c>
    </row>
    <row r="14" spans="1:7" s="24" customFormat="1" x14ac:dyDescent="0.25">
      <c r="A14" s="144" t="s">
        <v>436</v>
      </c>
      <c r="B14" s="60">
        <v>77597386.310000002</v>
      </c>
      <c r="C14" s="60">
        <v>466623.13</v>
      </c>
      <c r="D14" s="60">
        <v>78064009.439999998</v>
      </c>
      <c r="E14" s="60">
        <v>36814526.32</v>
      </c>
      <c r="F14" s="60">
        <v>33349739.23</v>
      </c>
      <c r="G14" s="77">
        <f t="shared" si="0"/>
        <v>41249483.119999997</v>
      </c>
    </row>
    <row r="15" spans="1:7" s="24" customFormat="1" x14ac:dyDescent="0.25">
      <c r="A15" s="144" t="s">
        <v>437</v>
      </c>
      <c r="B15" s="60">
        <v>156387080.59</v>
      </c>
      <c r="C15" s="60">
        <v>16649637.039999999</v>
      </c>
      <c r="D15" s="60">
        <v>173036717.63</v>
      </c>
      <c r="E15" s="60">
        <v>82157690.959999993</v>
      </c>
      <c r="F15" s="60">
        <v>75380152.209999993</v>
      </c>
      <c r="G15" s="77">
        <f t="shared" si="0"/>
        <v>90879026.670000002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2005919172.71</v>
      </c>
      <c r="C19" s="61">
        <f>SUM(C20:GASTO_E_FIN_02)</f>
        <v>101805737.79000001</v>
      </c>
      <c r="D19" s="61">
        <f>SUM(D20:GASTO_E_FIN_03)</f>
        <v>2107724910.5</v>
      </c>
      <c r="E19" s="61">
        <f>SUM(E20:GASTO_E_FIN_04)</f>
        <v>1296758532.97</v>
      </c>
      <c r="F19" s="61">
        <f>SUM(F20:GASTO_E_FIN_05)</f>
        <v>1279938094.5699999</v>
      </c>
      <c r="G19" s="61">
        <f>SUM(G20:GASTO_E_FIN_06)</f>
        <v>810966377.53000009</v>
      </c>
    </row>
    <row r="20" spans="1:7" s="24" customFormat="1" x14ac:dyDescent="0.25">
      <c r="A20" s="144" t="s">
        <v>432</v>
      </c>
      <c r="B20" s="60">
        <v>607642862.72000003</v>
      </c>
      <c r="C20" s="60">
        <v>-80950912.530000001</v>
      </c>
      <c r="D20" s="60">
        <v>526691950.19</v>
      </c>
      <c r="E20" s="60">
        <v>200226677.65000001</v>
      </c>
      <c r="F20" s="60">
        <v>192956975.13999999</v>
      </c>
      <c r="G20" s="60">
        <f>D20-E20</f>
        <v>326465272.53999996</v>
      </c>
    </row>
    <row r="21" spans="1:7" s="24" customFormat="1" x14ac:dyDescent="0.25">
      <c r="A21" s="144" t="s">
        <v>433</v>
      </c>
      <c r="B21" s="60">
        <v>609497091.79999995</v>
      </c>
      <c r="C21" s="60">
        <v>66611187.409999996</v>
      </c>
      <c r="D21" s="60">
        <v>676108279.21000004</v>
      </c>
      <c r="E21" s="60">
        <v>471721307.58999997</v>
      </c>
      <c r="F21" s="60">
        <v>467538810.02999997</v>
      </c>
      <c r="G21" s="60">
        <f t="shared" ref="G21:G27" si="1">D21-E21</f>
        <v>204386971.62000006</v>
      </c>
    </row>
    <row r="22" spans="1:7" s="24" customFormat="1" x14ac:dyDescent="0.25">
      <c r="A22" s="144" t="s">
        <v>434</v>
      </c>
      <c r="B22" s="60">
        <v>230894836.75999999</v>
      </c>
      <c r="C22" s="60">
        <v>56847319.270000003</v>
      </c>
      <c r="D22" s="60">
        <v>287742156.02999997</v>
      </c>
      <c r="E22" s="60">
        <v>180466400.24000001</v>
      </c>
      <c r="F22" s="60">
        <v>178613535.13999999</v>
      </c>
      <c r="G22" s="60">
        <f t="shared" si="1"/>
        <v>107275755.78999996</v>
      </c>
    </row>
    <row r="23" spans="1:7" s="24" customFormat="1" x14ac:dyDescent="0.25">
      <c r="A23" s="144" t="s">
        <v>435</v>
      </c>
      <c r="B23" s="60">
        <v>201951105.56999999</v>
      </c>
      <c r="C23" s="60">
        <v>29866583.030000001</v>
      </c>
      <c r="D23" s="60">
        <v>231817688.59999999</v>
      </c>
      <c r="E23" s="60">
        <v>161538585.15000001</v>
      </c>
      <c r="F23" s="60">
        <v>160639301.96000001</v>
      </c>
      <c r="G23" s="60">
        <f t="shared" si="1"/>
        <v>70279103.449999988</v>
      </c>
    </row>
    <row r="24" spans="1:7" s="24" customFormat="1" x14ac:dyDescent="0.25">
      <c r="A24" s="144" t="s">
        <v>436</v>
      </c>
      <c r="B24" s="60">
        <v>124916849.22</v>
      </c>
      <c r="C24" s="60">
        <v>14505009.51</v>
      </c>
      <c r="D24" s="60">
        <v>139421858.72999999</v>
      </c>
      <c r="E24" s="60">
        <v>100896173.8</v>
      </c>
      <c r="F24" s="60">
        <v>100245076.01000001</v>
      </c>
      <c r="G24" s="60">
        <f t="shared" si="1"/>
        <v>38525684.929999992</v>
      </c>
    </row>
    <row r="25" spans="1:7" s="24" customFormat="1" x14ac:dyDescent="0.25">
      <c r="A25" s="144" t="s">
        <v>437</v>
      </c>
      <c r="B25" s="60">
        <v>231016426.63999999</v>
      </c>
      <c r="C25" s="60">
        <v>14926551.1</v>
      </c>
      <c r="D25" s="60">
        <v>245942977.74000001</v>
      </c>
      <c r="E25" s="60">
        <v>181909388.53999999</v>
      </c>
      <c r="F25" s="60">
        <v>179944396.28999999</v>
      </c>
      <c r="G25" s="60">
        <f t="shared" si="1"/>
        <v>64033589.200000018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4007116009.9899998</v>
      </c>
      <c r="C29" s="61">
        <f>GASTO_NE_T2+GASTO_E_T2</f>
        <v>24527969.779999986</v>
      </c>
      <c r="D29" s="61">
        <f>GASTO_NE_T3+GASTO_E_T3</f>
        <v>4031643979.77</v>
      </c>
      <c r="E29" s="61">
        <f>GASTO_NE_T4+GASTO_E_T4</f>
        <v>2205879254.8299999</v>
      </c>
      <c r="F29" s="61">
        <f>GASTO_NE_T5+GASTO_E_T5</f>
        <v>2138494898.3</v>
      </c>
      <c r="G29" s="61">
        <f>GASTO_NE_T6+GASTO_E_T6</f>
        <v>1825764724.9400001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2001196837.2799997</v>
      </c>
      <c r="Q2" s="18">
        <f>GASTO_NE_T2</f>
        <v>-77277768.01000002</v>
      </c>
      <c r="R2" s="18">
        <f>GASTO_NE_T3</f>
        <v>1923919069.27</v>
      </c>
      <c r="S2" s="18">
        <f>GASTO_NE_T4</f>
        <v>909120721.86000013</v>
      </c>
      <c r="T2" s="18">
        <f>GASTO_NE_T5</f>
        <v>858556803.73000002</v>
      </c>
      <c r="U2" s="18">
        <f>GASTO_NE_T6</f>
        <v>1014798347.4100001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2005919172.71</v>
      </c>
      <c r="Q3" s="18">
        <f>GASTO_E_T2</f>
        <v>101805737.79000001</v>
      </c>
      <c r="R3" s="18">
        <f>GASTO_E_T3</f>
        <v>2107724910.5</v>
      </c>
      <c r="S3" s="18">
        <f>GASTO_E_T4</f>
        <v>1296758532.97</v>
      </c>
      <c r="T3" s="18">
        <f>GASTO_E_T5</f>
        <v>1279938094.5699999</v>
      </c>
      <c r="U3" s="18">
        <f>GASTO_E_T6</f>
        <v>810966377.53000009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4007116009.9899998</v>
      </c>
      <c r="Q4" s="18">
        <f>TOTAL_E_T2</f>
        <v>24527969.779999986</v>
      </c>
      <c r="R4" s="18">
        <f>TOTAL_E_T3</f>
        <v>4031643979.77</v>
      </c>
      <c r="S4" s="18">
        <f>TOTAL_E_T4</f>
        <v>2205879254.8299999</v>
      </c>
      <c r="T4" s="18">
        <f>TOTAL_E_T5</f>
        <v>2138494898.3</v>
      </c>
      <c r="U4" s="18">
        <f>TOTAL_E_T6</f>
        <v>1825764724.9400001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G78" sqref="G7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0" t="s">
        <v>3289</v>
      </c>
      <c r="B1" s="181"/>
      <c r="C1" s="181"/>
      <c r="D1" s="181"/>
      <c r="E1" s="181"/>
      <c r="F1" s="181"/>
      <c r="G1" s="181"/>
    </row>
    <row r="2" spans="1:7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396</v>
      </c>
      <c r="B3" s="159"/>
      <c r="C3" s="159"/>
      <c r="D3" s="159"/>
      <c r="E3" s="159"/>
      <c r="F3" s="159"/>
      <c r="G3" s="160"/>
    </row>
    <row r="4" spans="1:7" x14ac:dyDescent="0.25">
      <c r="A4" s="158" t="s">
        <v>397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30 de septiembre de 2020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59" t="s">
        <v>0</v>
      </c>
      <c r="B7" s="164" t="s">
        <v>279</v>
      </c>
      <c r="C7" s="165"/>
      <c r="D7" s="165"/>
      <c r="E7" s="165"/>
      <c r="F7" s="166"/>
      <c r="G7" s="176" t="s">
        <v>3286</v>
      </c>
    </row>
    <row r="8" spans="1:7" ht="30.75" customHeight="1" x14ac:dyDescent="0.25">
      <c r="A8" s="15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5"/>
    </row>
    <row r="9" spans="1:7" ht="14.25" x14ac:dyDescent="0.45">
      <c r="A9" s="52" t="s">
        <v>363</v>
      </c>
      <c r="B9" s="70">
        <f>SUM(B10,B19,B27,B37)</f>
        <v>2001196837.2800021</v>
      </c>
      <c r="C9" s="70">
        <f t="shared" ref="C9:G9" si="0">SUM(C10,C19,C27,C37)</f>
        <v>-77277768.009999961</v>
      </c>
      <c r="D9" s="70">
        <f t="shared" si="0"/>
        <v>1923919069.27</v>
      </c>
      <c r="E9" s="70">
        <f t="shared" si="0"/>
        <v>909120721.85999966</v>
      </c>
      <c r="F9" s="70">
        <f t="shared" si="0"/>
        <v>858556803.7299999</v>
      </c>
      <c r="G9" s="70">
        <f t="shared" si="0"/>
        <v>1014798347.4100002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1828761175.0900021</v>
      </c>
      <c r="C19" s="71">
        <f t="shared" ref="C19:F19" si="3">SUM(C20:C26)</f>
        <v>-36823146.689999998</v>
      </c>
      <c r="D19" s="71">
        <f t="shared" si="3"/>
        <v>1791938028.3999999</v>
      </c>
      <c r="E19" s="71">
        <f t="shared" si="3"/>
        <v>877268236.63999975</v>
      </c>
      <c r="F19" s="71">
        <f t="shared" si="3"/>
        <v>830605163.90999997</v>
      </c>
      <c r="G19" s="71">
        <f>SUM(G20:G26)</f>
        <v>914669791.76000011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1">
        <v>1828761175.0900021</v>
      </c>
      <c r="C24" s="71">
        <v>-36823146.689999998</v>
      </c>
      <c r="D24" s="71">
        <v>1791938028.3999999</v>
      </c>
      <c r="E24" s="71">
        <v>877268236.63999975</v>
      </c>
      <c r="F24" s="71">
        <v>830605163.90999997</v>
      </c>
      <c r="G24" s="72">
        <f t="shared" si="4"/>
        <v>914669791.76000011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x14ac:dyDescent="0.2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172435662.18999997</v>
      </c>
      <c r="C27" s="71">
        <f t="shared" ref="C27:F27" si="5">SUM(C28:C36)</f>
        <v>-40454621.31999997</v>
      </c>
      <c r="D27" s="71">
        <f t="shared" si="5"/>
        <v>131981040.87000005</v>
      </c>
      <c r="E27" s="71">
        <f t="shared" si="5"/>
        <v>31852485.219999954</v>
      </c>
      <c r="F27" s="71">
        <f t="shared" si="5"/>
        <v>27951639.819999952</v>
      </c>
      <c r="G27" s="71">
        <f>SUM(G28:G36)</f>
        <v>100128555.6500001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2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172435662.18999997</v>
      </c>
      <c r="C35" s="72">
        <v>-40454621.31999997</v>
      </c>
      <c r="D35" s="72">
        <v>131981040.87000005</v>
      </c>
      <c r="E35" s="72">
        <v>31852485.219999954</v>
      </c>
      <c r="F35" s="72">
        <v>27951639.819999952</v>
      </c>
      <c r="G35" s="72">
        <f t="shared" si="6"/>
        <v>100128555.6500001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 t="shared" si="8"/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2005919172.7099974</v>
      </c>
      <c r="C43" s="73">
        <f t="shared" ref="C43:G43" si="9">SUM(C44,C53,C61,C71)</f>
        <v>101805737.78999992</v>
      </c>
      <c r="D43" s="73">
        <f t="shared" si="9"/>
        <v>2107724910.5000036</v>
      </c>
      <c r="E43" s="73">
        <f t="shared" si="9"/>
        <v>1296758532.9700003</v>
      </c>
      <c r="F43" s="73">
        <f t="shared" si="9"/>
        <v>1279938094.5700004</v>
      </c>
      <c r="G43" s="73">
        <f t="shared" si="9"/>
        <v>810966377.53000331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1831401571.8699973</v>
      </c>
      <c r="C53" s="71">
        <f t="shared" ref="C53:G53" si="12">SUM(C54:C60)</f>
        <v>-1387583.61</v>
      </c>
      <c r="D53" s="71">
        <f t="shared" si="12"/>
        <v>1830013988.2600033</v>
      </c>
      <c r="E53" s="71">
        <f t="shared" si="12"/>
        <v>1187186567.4900002</v>
      </c>
      <c r="F53" s="71">
        <f t="shared" si="12"/>
        <v>1171492296.4200003</v>
      </c>
      <c r="G53" s="71">
        <f t="shared" si="12"/>
        <v>642827420.77000308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1">
        <v>1831401571.8699973</v>
      </c>
      <c r="C58" s="71">
        <v>-1387583.61</v>
      </c>
      <c r="D58" s="71">
        <v>1830013988.2600033</v>
      </c>
      <c r="E58" s="71">
        <v>1187186567.4900002</v>
      </c>
      <c r="F58" s="71">
        <v>1171492296.4200003</v>
      </c>
      <c r="G58" s="72">
        <f t="shared" si="13"/>
        <v>642827420.77000308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174517600.84000009</v>
      </c>
      <c r="C61" s="71">
        <f t="shared" ref="C61:G61" si="14">SUM(C62:C70)</f>
        <v>103193321.39999992</v>
      </c>
      <c r="D61" s="71">
        <f t="shared" si="14"/>
        <v>277710922.24000019</v>
      </c>
      <c r="E61" s="71">
        <f t="shared" si="14"/>
        <v>109571965.47999997</v>
      </c>
      <c r="F61" s="71">
        <f t="shared" si="14"/>
        <v>108445798.15000005</v>
      </c>
      <c r="G61" s="71">
        <f t="shared" si="14"/>
        <v>168138956.76000023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174517600.84000009</v>
      </c>
      <c r="C69" s="72">
        <v>103193321.39999992</v>
      </c>
      <c r="D69" s="72">
        <v>277710922.24000019</v>
      </c>
      <c r="E69" s="72">
        <v>109571965.47999997</v>
      </c>
      <c r="F69" s="72">
        <v>108445798.15000005</v>
      </c>
      <c r="G69" s="72">
        <f t="shared" si="15"/>
        <v>168138956.76000023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4007116009.9899998</v>
      </c>
      <c r="C77" s="73">
        <f t="shared" ref="C77:F77" si="18">C43+C9</f>
        <v>24527969.779999956</v>
      </c>
      <c r="D77" s="73">
        <f t="shared" si="18"/>
        <v>4031643979.7700033</v>
      </c>
      <c r="E77" s="73">
        <f t="shared" si="18"/>
        <v>2205879254.8299999</v>
      </c>
      <c r="F77" s="73">
        <f t="shared" si="18"/>
        <v>2138494898.3000002</v>
      </c>
      <c r="G77" s="73">
        <f>G43+G9</f>
        <v>1825764724.9400034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2001196837.2800021</v>
      </c>
      <c r="Q2" s="18">
        <f>'Formato 6 c)'!C9</f>
        <v>-77277768.009999961</v>
      </c>
      <c r="R2" s="18">
        <f>'Formato 6 c)'!D9</f>
        <v>1923919069.27</v>
      </c>
      <c r="S2" s="18">
        <f>'Formato 6 c)'!E9</f>
        <v>909120721.85999966</v>
      </c>
      <c r="T2" s="18">
        <f>'Formato 6 c)'!F9</f>
        <v>858556803.7299999</v>
      </c>
      <c r="U2" s="18">
        <f>'Formato 6 c)'!G9</f>
        <v>1014798347.4100002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1828761175.0900021</v>
      </c>
      <c r="Q12" s="18">
        <f>'Formato 6 c)'!C19</f>
        <v>-36823146.689999998</v>
      </c>
      <c r="R12" s="18">
        <f>'Formato 6 c)'!D19</f>
        <v>1791938028.3999999</v>
      </c>
      <c r="S12" s="18">
        <f>'Formato 6 c)'!E19</f>
        <v>877268236.63999975</v>
      </c>
      <c r="T12" s="18">
        <f>'Formato 6 c)'!F19</f>
        <v>830605163.90999997</v>
      </c>
      <c r="U12" s="18">
        <f>'Formato 6 c)'!G19</f>
        <v>914669791.76000011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1828761175.0900021</v>
      </c>
      <c r="Q17" s="18">
        <f>'Formato 6 c)'!C24</f>
        <v>-36823146.689999998</v>
      </c>
      <c r="R17" s="18">
        <f>'Formato 6 c)'!D24</f>
        <v>1791938028.3999999</v>
      </c>
      <c r="S17" s="18">
        <f>'Formato 6 c)'!E24</f>
        <v>877268236.63999975</v>
      </c>
      <c r="T17" s="18">
        <f>'Formato 6 c)'!F24</f>
        <v>830605163.90999997</v>
      </c>
      <c r="U17" s="18">
        <f>'Formato 6 c)'!G24</f>
        <v>914669791.76000011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172435662.18999997</v>
      </c>
      <c r="Q20" s="18">
        <f>'Formato 6 c)'!C27</f>
        <v>-40454621.31999997</v>
      </c>
      <c r="R20" s="18">
        <f>'Formato 6 c)'!D27</f>
        <v>131981040.87000005</v>
      </c>
      <c r="S20" s="18">
        <f>'Formato 6 c)'!E27</f>
        <v>31852485.219999954</v>
      </c>
      <c r="T20" s="18">
        <f>'Formato 6 c)'!F27</f>
        <v>27951639.819999952</v>
      </c>
      <c r="U20" s="18">
        <f>'Formato 6 c)'!G27</f>
        <v>100128555.6500001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172435662.18999997</v>
      </c>
      <c r="Q28" s="18">
        <f>'Formato 6 c)'!C35</f>
        <v>-40454621.31999997</v>
      </c>
      <c r="R28" s="18">
        <f>'Formato 6 c)'!D35</f>
        <v>131981040.87000005</v>
      </c>
      <c r="S28" s="18">
        <f>'Formato 6 c)'!E35</f>
        <v>31852485.219999954</v>
      </c>
      <c r="T28" s="18">
        <f>'Formato 6 c)'!F35</f>
        <v>27951639.819999952</v>
      </c>
      <c r="U28" s="18">
        <f>'Formato 6 c)'!G35</f>
        <v>100128555.6500001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2005919172.7099974</v>
      </c>
      <c r="Q35" s="18">
        <f>'Formato 6 c)'!C43</f>
        <v>101805737.78999992</v>
      </c>
      <c r="R35" s="18">
        <f>'Formato 6 c)'!D43</f>
        <v>2107724910.5000036</v>
      </c>
      <c r="S35" s="18">
        <f>'Formato 6 c)'!E43</f>
        <v>1296758532.9700003</v>
      </c>
      <c r="T35" s="18">
        <f>'Formato 6 c)'!F43</f>
        <v>1279938094.5700004</v>
      </c>
      <c r="U35" s="18">
        <f>'Formato 6 c)'!G43</f>
        <v>810966377.53000331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1831401571.8699973</v>
      </c>
      <c r="Q45" s="18">
        <f>'Formato 6 c)'!C53</f>
        <v>-1387583.61</v>
      </c>
      <c r="R45" s="18">
        <f>'Formato 6 c)'!D53</f>
        <v>1830013988.2600033</v>
      </c>
      <c r="S45" s="18">
        <f>'Formato 6 c)'!E53</f>
        <v>1187186567.4900002</v>
      </c>
      <c r="T45" s="18">
        <f>'Formato 6 c)'!F53</f>
        <v>1171492296.4200003</v>
      </c>
      <c r="U45" s="18">
        <f>'Formato 6 c)'!G53</f>
        <v>642827420.77000308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1831401571.8699973</v>
      </c>
      <c r="Q50" s="18">
        <f>'Formato 6 c)'!C58</f>
        <v>-1387583.61</v>
      </c>
      <c r="R50" s="18">
        <f>'Formato 6 c)'!D58</f>
        <v>1830013988.2600033</v>
      </c>
      <c r="S50" s="18">
        <f>'Formato 6 c)'!E58</f>
        <v>1187186567.4900002</v>
      </c>
      <c r="T50" s="18">
        <f>'Formato 6 c)'!F58</f>
        <v>1171492296.4200003</v>
      </c>
      <c r="U50" s="18">
        <f>'Formato 6 c)'!G58</f>
        <v>642827420.77000308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174517600.84000009</v>
      </c>
      <c r="Q53" s="18">
        <f>'Formato 6 c)'!C61</f>
        <v>103193321.39999992</v>
      </c>
      <c r="R53" s="18">
        <f>'Formato 6 c)'!D61</f>
        <v>277710922.24000019</v>
      </c>
      <c r="S53" s="18">
        <f>'Formato 6 c)'!E61</f>
        <v>109571965.47999997</v>
      </c>
      <c r="T53" s="18">
        <f>'Formato 6 c)'!F61</f>
        <v>108445798.15000005</v>
      </c>
      <c r="U53" s="18">
        <f>'Formato 6 c)'!G61</f>
        <v>168138956.76000023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174517600.84000009</v>
      </c>
      <c r="Q61" s="18">
        <f>'Formato 6 c)'!C69</f>
        <v>103193321.39999992</v>
      </c>
      <c r="R61" s="18">
        <f>'Formato 6 c)'!D69</f>
        <v>277710922.24000019</v>
      </c>
      <c r="S61" s="18">
        <f>'Formato 6 c)'!E69</f>
        <v>109571965.47999997</v>
      </c>
      <c r="T61" s="18">
        <f>'Formato 6 c)'!F69</f>
        <v>108445798.15000005</v>
      </c>
      <c r="U61" s="18">
        <f>'Formato 6 c)'!G69</f>
        <v>168138956.76000023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4007116009.9899998</v>
      </c>
      <c r="Q68" s="18">
        <f>'Formato 6 c)'!C77</f>
        <v>24527969.779999956</v>
      </c>
      <c r="R68" s="18">
        <f>'Formato 6 c)'!D77</f>
        <v>4031643979.7700033</v>
      </c>
      <c r="S68" s="18">
        <f>'Formato 6 c)'!E77</f>
        <v>2205879254.8299999</v>
      </c>
      <c r="T68" s="18">
        <f>'Formato 6 c)'!F77</f>
        <v>2138494898.3000002</v>
      </c>
      <c r="U68" s="18">
        <f>'Formato 6 c)'!G77</f>
        <v>1825764724.9400034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Universidad de Guanajuato, Gobierno del Estado de Guanajuato</v>
      </c>
    </row>
    <row r="7" spans="2:3" ht="14.25" x14ac:dyDescent="0.45">
      <c r="C7" t="str">
        <f>CONCATENATE(ENTE_PUBLICO," (a)")</f>
        <v>Universidad de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3135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4" t="s">
        <v>3287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61" t="s">
        <v>277</v>
      </c>
      <c r="B3" s="162"/>
      <c r="C3" s="162"/>
      <c r="D3" s="162"/>
      <c r="E3" s="162"/>
      <c r="F3" s="162"/>
      <c r="G3" s="163"/>
    </row>
    <row r="4" spans="1:7" x14ac:dyDescent="0.25">
      <c r="A4" s="161" t="s">
        <v>399</v>
      </c>
      <c r="B4" s="162"/>
      <c r="C4" s="162"/>
      <c r="D4" s="162"/>
      <c r="E4" s="162"/>
      <c r="F4" s="162"/>
      <c r="G4" s="163"/>
    </row>
    <row r="5" spans="1:7" ht="14.25" x14ac:dyDescent="0.45">
      <c r="A5" s="161" t="str">
        <f>TRIMESTRE</f>
        <v>Del 1 de enero al 30 de septiembre de 2020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361</v>
      </c>
      <c r="B7" s="175" t="s">
        <v>279</v>
      </c>
      <c r="C7" s="175"/>
      <c r="D7" s="175"/>
      <c r="E7" s="175"/>
      <c r="F7" s="175"/>
      <c r="G7" s="175" t="s">
        <v>280</v>
      </c>
    </row>
    <row r="8" spans="1:7" ht="29.25" customHeight="1" x14ac:dyDescent="0.25">
      <c r="A8" s="17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2"/>
    </row>
    <row r="9" spans="1:7" ht="14.25" x14ac:dyDescent="0.45">
      <c r="A9" s="52" t="s">
        <v>400</v>
      </c>
      <c r="B9" s="66">
        <f>SUM(B10,B11,B12,B15,B16,B19)</f>
        <v>1084079858.9400001</v>
      </c>
      <c r="C9" s="66">
        <f t="shared" ref="C9:F9" si="0">SUM(C10,C11,C12,C15,C16,C19)</f>
        <v>18736061.880000003</v>
      </c>
      <c r="D9" s="66">
        <f t="shared" si="0"/>
        <v>1102815920.8199999</v>
      </c>
      <c r="E9" s="66">
        <f t="shared" si="0"/>
        <v>698889034.32999992</v>
      </c>
      <c r="F9" s="66">
        <f t="shared" si="0"/>
        <v>684664612.74000013</v>
      </c>
      <c r="G9" s="66">
        <f>SUM(G10,G11,G12,G15,G16,G19)</f>
        <v>403926886.49000001</v>
      </c>
    </row>
    <row r="10" spans="1:7" x14ac:dyDescent="0.25">
      <c r="A10" s="53" t="s">
        <v>401</v>
      </c>
      <c r="B10" s="67">
        <v>838632844.72000003</v>
      </c>
      <c r="C10" s="67">
        <v>38270724.890000001</v>
      </c>
      <c r="D10" s="67">
        <v>876903569.61000001</v>
      </c>
      <c r="E10" s="67">
        <v>555311885.13999999</v>
      </c>
      <c r="F10" s="67">
        <v>543986925.47000003</v>
      </c>
      <c r="G10" s="67">
        <v>321591684.47000003</v>
      </c>
    </row>
    <row r="11" spans="1:7" x14ac:dyDescent="0.25">
      <c r="A11" s="53" t="s">
        <v>402</v>
      </c>
      <c r="B11" s="67">
        <v>229319817.41999999</v>
      </c>
      <c r="C11" s="67">
        <v>-22259123.469999999</v>
      </c>
      <c r="D11" s="67">
        <v>207060693.94999999</v>
      </c>
      <c r="E11" s="67">
        <v>131124183.18000001</v>
      </c>
      <c r="F11" s="67">
        <v>128450053.33</v>
      </c>
      <c r="G11" s="67">
        <v>75936510.769999981</v>
      </c>
    </row>
    <row r="12" spans="1:7" x14ac:dyDescent="0.25">
      <c r="A12" s="53" t="s">
        <v>403</v>
      </c>
      <c r="B12" s="67">
        <v>16127196.800000001</v>
      </c>
      <c r="C12" s="67">
        <v>1320503.1099999999</v>
      </c>
      <c r="D12" s="67">
        <v>17447699.91</v>
      </c>
      <c r="E12" s="67">
        <v>11049008.66</v>
      </c>
      <c r="F12" s="67">
        <v>10823676.59</v>
      </c>
      <c r="G12" s="67">
        <v>6398691.2499999991</v>
      </c>
    </row>
    <row r="13" spans="1:7" x14ac:dyDescent="0.25">
      <c r="A13" s="63" t="s">
        <v>404</v>
      </c>
      <c r="B13" s="67">
        <v>11101880.26</v>
      </c>
      <c r="C13" s="67">
        <v>4525684.68</v>
      </c>
      <c r="D13" s="67">
        <v>15627564.939999999</v>
      </c>
      <c r="E13" s="67">
        <v>9896381.8300000001</v>
      </c>
      <c r="F13" s="67">
        <v>9694556.2799999993</v>
      </c>
      <c r="G13" s="67">
        <v>5731183.1099999994</v>
      </c>
    </row>
    <row r="14" spans="1:7" x14ac:dyDescent="0.25">
      <c r="A14" s="63" t="s">
        <v>405</v>
      </c>
      <c r="B14" s="67">
        <v>5025316.54</v>
      </c>
      <c r="C14" s="67">
        <v>-3205181.57</v>
      </c>
      <c r="D14" s="67">
        <v>1820134.97</v>
      </c>
      <c r="E14" s="67">
        <v>1152626.83</v>
      </c>
      <c r="F14" s="67">
        <v>1129120.31</v>
      </c>
      <c r="G14" s="67">
        <v>667508.1399999999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x14ac:dyDescent="0.25">
      <c r="A16" s="64" t="s">
        <v>407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x14ac:dyDescent="0.25">
      <c r="A19" s="53" t="s">
        <v>410</v>
      </c>
      <c r="B19" s="67">
        <v>0</v>
      </c>
      <c r="C19" s="67">
        <v>1403957.35</v>
      </c>
      <c r="D19" s="67">
        <v>1403957.35</v>
      </c>
      <c r="E19" s="67">
        <v>1403957.35</v>
      </c>
      <c r="F19" s="67">
        <v>1403957.35</v>
      </c>
      <c r="G19" s="67"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1787651320.47</v>
      </c>
      <c r="C21" s="66">
        <f t="shared" ref="C21:F21" si="1">SUM(C22,C23,C24,C27,C28,C31)</f>
        <v>-15839995.220000001</v>
      </c>
      <c r="D21" s="66">
        <f t="shared" si="1"/>
        <v>1771811325.25</v>
      </c>
      <c r="E21" s="66">
        <f t="shared" si="1"/>
        <v>1227607884.03</v>
      </c>
      <c r="F21" s="66">
        <f t="shared" si="1"/>
        <v>1212648776.3500001</v>
      </c>
      <c r="G21" s="66">
        <f>SUM(G22,G23,G24,G27,G28,G31)</f>
        <v>544203441.22000003</v>
      </c>
    </row>
    <row r="22" spans="1:7" s="24" customFormat="1" x14ac:dyDescent="0.25">
      <c r="A22" s="53" t="s">
        <v>401</v>
      </c>
      <c r="B22" s="194">
        <v>287688840.74000001</v>
      </c>
      <c r="C22" s="194">
        <v>-52527423</v>
      </c>
      <c r="D22" s="194">
        <v>235161417.74000001</v>
      </c>
      <c r="E22" s="194">
        <v>162905989.22</v>
      </c>
      <c r="F22" s="194">
        <v>160919826.22</v>
      </c>
      <c r="G22" s="194">
        <f>D22-E22</f>
        <v>72255428.520000011</v>
      </c>
    </row>
    <row r="23" spans="1:7" s="24" customFormat="1" x14ac:dyDescent="0.25">
      <c r="A23" s="53" t="s">
        <v>402</v>
      </c>
      <c r="B23" s="194">
        <v>1495981520.05</v>
      </c>
      <c r="C23" s="194">
        <v>36245367.68</v>
      </c>
      <c r="D23" s="194">
        <v>1532226887.73</v>
      </c>
      <c r="E23" s="194">
        <v>1061436604.91</v>
      </c>
      <c r="F23" s="194">
        <v>1048495484</v>
      </c>
      <c r="G23" s="194">
        <f>D23-E23</f>
        <v>470790282.82000005</v>
      </c>
    </row>
    <row r="24" spans="1:7" s="24" customFormat="1" x14ac:dyDescent="0.25">
      <c r="A24" s="53" t="s">
        <v>403</v>
      </c>
      <c r="B24" s="194">
        <f t="shared" ref="B24:G24" si="2">B25+B26</f>
        <v>3980959.6799999997</v>
      </c>
      <c r="C24" s="194">
        <f t="shared" si="2"/>
        <v>-213029.63</v>
      </c>
      <c r="D24" s="194">
        <f t="shared" si="2"/>
        <v>3767930.05</v>
      </c>
      <c r="E24" s="194">
        <f t="shared" si="2"/>
        <v>2610200.17</v>
      </c>
      <c r="F24" s="194">
        <f t="shared" si="2"/>
        <v>2578376.4</v>
      </c>
      <c r="G24" s="194">
        <f t="shared" si="2"/>
        <v>1157729.8800000001</v>
      </c>
    </row>
    <row r="25" spans="1:7" s="24" customFormat="1" x14ac:dyDescent="0.25">
      <c r="A25" s="63" t="s">
        <v>404</v>
      </c>
      <c r="B25" s="194">
        <v>1051055.0900000001</v>
      </c>
      <c r="C25" s="194">
        <v>97348.61</v>
      </c>
      <c r="D25" s="194">
        <v>1148403.7</v>
      </c>
      <c r="E25" s="194">
        <v>795546.49</v>
      </c>
      <c r="F25" s="194">
        <v>785847.13</v>
      </c>
      <c r="G25" s="194">
        <f>D25-E25</f>
        <v>352857.20999999996</v>
      </c>
    </row>
    <row r="26" spans="1:7" s="24" customFormat="1" x14ac:dyDescent="0.25">
      <c r="A26" s="63" t="s">
        <v>405</v>
      </c>
      <c r="B26" s="194">
        <v>2929904.59</v>
      </c>
      <c r="C26" s="194">
        <v>-310378.23999999999</v>
      </c>
      <c r="D26" s="194">
        <v>2619526.35</v>
      </c>
      <c r="E26" s="194">
        <v>1814653.68</v>
      </c>
      <c r="F26" s="194">
        <v>1792529.27</v>
      </c>
      <c r="G26" s="194">
        <f>D26-E26</f>
        <v>804872.67000000016</v>
      </c>
    </row>
    <row r="27" spans="1:7" s="24" customFormat="1" x14ac:dyDescent="0.25">
      <c r="A27" s="53" t="s">
        <v>406</v>
      </c>
      <c r="B27" s="194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f>D27-E27</f>
        <v>0</v>
      </c>
    </row>
    <row r="28" spans="1:7" s="24" customFormat="1" x14ac:dyDescent="0.25">
      <c r="A28" s="64" t="s">
        <v>407</v>
      </c>
      <c r="B28" s="194">
        <f t="shared" ref="B28:G28" si="3">B29+B30</f>
        <v>0</v>
      </c>
      <c r="C28" s="194">
        <f t="shared" si="3"/>
        <v>0</v>
      </c>
      <c r="D28" s="194">
        <f t="shared" si="3"/>
        <v>0</v>
      </c>
      <c r="E28" s="194">
        <f t="shared" si="3"/>
        <v>0</v>
      </c>
      <c r="F28" s="194">
        <f t="shared" si="3"/>
        <v>0</v>
      </c>
      <c r="G28" s="194">
        <f t="shared" si="3"/>
        <v>0</v>
      </c>
    </row>
    <row r="29" spans="1:7" s="24" customFormat="1" x14ac:dyDescent="0.25">
      <c r="A29" s="63" t="s">
        <v>408</v>
      </c>
      <c r="B29" s="194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f>D29-E29</f>
        <v>0</v>
      </c>
    </row>
    <row r="30" spans="1:7" s="24" customFormat="1" x14ac:dyDescent="0.25">
      <c r="A30" s="63" t="s">
        <v>409</v>
      </c>
      <c r="B30" s="194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f>D30-E30</f>
        <v>0</v>
      </c>
    </row>
    <row r="31" spans="1:7" s="24" customFormat="1" x14ac:dyDescent="0.25">
      <c r="A31" s="53" t="s">
        <v>410</v>
      </c>
      <c r="B31" s="194">
        <v>0</v>
      </c>
      <c r="C31" s="194">
        <v>655089.73</v>
      </c>
      <c r="D31" s="194">
        <v>655089.73</v>
      </c>
      <c r="E31" s="194">
        <v>655089.73</v>
      </c>
      <c r="F31" s="194">
        <v>655089.73</v>
      </c>
      <c r="G31" s="194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2871731179.4099998</v>
      </c>
      <c r="C33" s="66">
        <f t="shared" ref="C33:G33" si="4">C21+C9</f>
        <v>2896066.660000002</v>
      </c>
      <c r="D33" s="66">
        <f t="shared" si="4"/>
        <v>2874627246.0699997</v>
      </c>
      <c r="E33" s="66">
        <f t="shared" si="4"/>
        <v>1926496918.3599999</v>
      </c>
      <c r="F33" s="66">
        <f t="shared" si="4"/>
        <v>1897313389.0900002</v>
      </c>
      <c r="G33" s="66">
        <f t="shared" si="4"/>
        <v>948130327.71000004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1084079858.9400001</v>
      </c>
      <c r="Q2" s="18">
        <f>'Formato 6 d)'!C9</f>
        <v>18736061.880000003</v>
      </c>
      <c r="R2" s="18">
        <f>'Formato 6 d)'!D9</f>
        <v>1102815920.8199999</v>
      </c>
      <c r="S2" s="18">
        <f>'Formato 6 d)'!E9</f>
        <v>698889034.32999992</v>
      </c>
      <c r="T2" s="18">
        <f>'Formato 6 d)'!F9</f>
        <v>684664612.74000013</v>
      </c>
      <c r="U2" s="18">
        <f>'Formato 6 d)'!G9</f>
        <v>403926886.49000001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838632844.72000003</v>
      </c>
      <c r="Q3" s="18">
        <f>'Formato 6 d)'!C10</f>
        <v>38270724.890000001</v>
      </c>
      <c r="R3" s="18">
        <f>'Formato 6 d)'!D10</f>
        <v>876903569.61000001</v>
      </c>
      <c r="S3" s="18">
        <f>'Formato 6 d)'!E10</f>
        <v>555311885.13999999</v>
      </c>
      <c r="T3" s="18">
        <f>'Formato 6 d)'!F10</f>
        <v>543986925.47000003</v>
      </c>
      <c r="U3" s="18">
        <f>'Formato 6 d)'!G10</f>
        <v>321591684.47000003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229319817.41999999</v>
      </c>
      <c r="Q4" s="18">
        <f>'Formato 6 d)'!C11</f>
        <v>-22259123.469999999</v>
      </c>
      <c r="R4" s="18">
        <f>'Formato 6 d)'!D11</f>
        <v>207060693.94999999</v>
      </c>
      <c r="S4" s="18">
        <f>'Formato 6 d)'!E11</f>
        <v>131124183.18000001</v>
      </c>
      <c r="T4" s="18">
        <f>'Formato 6 d)'!F11</f>
        <v>128450053.33</v>
      </c>
      <c r="U4" s="18">
        <f>'Formato 6 d)'!G11</f>
        <v>75936510.769999981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16127196.800000001</v>
      </c>
      <c r="Q5" s="18">
        <f>'Formato 6 d)'!C12</f>
        <v>1320503.1099999999</v>
      </c>
      <c r="R5" s="18">
        <f>'Formato 6 d)'!D12</f>
        <v>17447699.91</v>
      </c>
      <c r="S5" s="18">
        <f>'Formato 6 d)'!E12</f>
        <v>11049008.66</v>
      </c>
      <c r="T5" s="18">
        <f>'Formato 6 d)'!F12</f>
        <v>10823676.59</v>
      </c>
      <c r="U5" s="18">
        <f>'Formato 6 d)'!G12</f>
        <v>6398691.2499999991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11101880.26</v>
      </c>
      <c r="Q6" s="18">
        <f>'Formato 6 d)'!C13</f>
        <v>4525684.68</v>
      </c>
      <c r="R6" s="18">
        <f>'Formato 6 d)'!D13</f>
        <v>15627564.939999999</v>
      </c>
      <c r="S6" s="18">
        <f>'Formato 6 d)'!E13</f>
        <v>9896381.8300000001</v>
      </c>
      <c r="T6" s="18">
        <f>'Formato 6 d)'!F13</f>
        <v>9694556.2799999993</v>
      </c>
      <c r="U6" s="18">
        <f>'Formato 6 d)'!G13</f>
        <v>5731183.1099999994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5025316.54</v>
      </c>
      <c r="Q7" s="18">
        <f>'Formato 6 d)'!C14</f>
        <v>-3205181.57</v>
      </c>
      <c r="R7" s="18">
        <f>'Formato 6 d)'!D14</f>
        <v>1820134.97</v>
      </c>
      <c r="S7" s="18">
        <f>'Formato 6 d)'!E14</f>
        <v>1152626.83</v>
      </c>
      <c r="T7" s="18">
        <f>'Formato 6 d)'!F14</f>
        <v>1129120.31</v>
      </c>
      <c r="U7" s="18">
        <f>'Formato 6 d)'!G14</f>
        <v>667508.1399999999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1403957.35</v>
      </c>
      <c r="R12" s="18">
        <f>'Formato 6 d)'!D19</f>
        <v>1403957.35</v>
      </c>
      <c r="S12" s="18">
        <f>'Formato 6 d)'!E19</f>
        <v>1403957.35</v>
      </c>
      <c r="T12" s="18">
        <f>'Formato 6 d)'!F19</f>
        <v>1403957.35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1787651320.47</v>
      </c>
      <c r="Q13" s="18">
        <f>'Formato 6 d)'!C21</f>
        <v>-15839995.220000001</v>
      </c>
      <c r="R13" s="18">
        <f>'Formato 6 d)'!D21</f>
        <v>1771811325.25</v>
      </c>
      <c r="S13" s="18">
        <f>'Formato 6 d)'!E21</f>
        <v>1227607884.03</v>
      </c>
      <c r="T13" s="18">
        <f>'Formato 6 d)'!F21</f>
        <v>1212648776.3500001</v>
      </c>
      <c r="U13" s="18">
        <f>'Formato 6 d)'!G21</f>
        <v>544203441.22000003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287688840.74000001</v>
      </c>
      <c r="Q14" s="18">
        <f>'Formato 6 d)'!C22</f>
        <v>-52527423</v>
      </c>
      <c r="R14" s="18">
        <f>'Formato 6 d)'!D22</f>
        <v>235161417.74000001</v>
      </c>
      <c r="S14" s="18">
        <f>'Formato 6 d)'!E22</f>
        <v>162905989.22</v>
      </c>
      <c r="T14" s="18">
        <f>'Formato 6 d)'!F22</f>
        <v>160919826.22</v>
      </c>
      <c r="U14" s="18">
        <f>'Formato 6 d)'!G22</f>
        <v>72255428.520000011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1495981520.05</v>
      </c>
      <c r="Q15" s="18">
        <f>'Formato 6 d)'!C23</f>
        <v>36245367.68</v>
      </c>
      <c r="R15" s="18">
        <f>'Formato 6 d)'!D23</f>
        <v>1532226887.73</v>
      </c>
      <c r="S15" s="18">
        <f>'Formato 6 d)'!E23</f>
        <v>1061436604.91</v>
      </c>
      <c r="T15" s="18">
        <f>'Formato 6 d)'!F23</f>
        <v>1048495484</v>
      </c>
      <c r="U15" s="18">
        <f>'Formato 6 d)'!G23</f>
        <v>470790282.82000005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3980959.6799999997</v>
      </c>
      <c r="Q16" s="18">
        <f>'Formato 6 d)'!C24</f>
        <v>-213029.63</v>
      </c>
      <c r="R16" s="18">
        <f>'Formato 6 d)'!D24</f>
        <v>3767930.05</v>
      </c>
      <c r="S16" s="18">
        <f>'Formato 6 d)'!E24</f>
        <v>2610200.17</v>
      </c>
      <c r="T16" s="18">
        <f>'Formato 6 d)'!F24</f>
        <v>2578376.4</v>
      </c>
      <c r="U16" s="18">
        <f>'Formato 6 d)'!G24</f>
        <v>1157729.8800000001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1051055.0900000001</v>
      </c>
      <c r="Q17" s="18">
        <f>'Formato 6 d)'!C25</f>
        <v>97348.61</v>
      </c>
      <c r="R17" s="18">
        <f>'Formato 6 d)'!D25</f>
        <v>1148403.7</v>
      </c>
      <c r="S17" s="18">
        <f>'Formato 6 d)'!E25</f>
        <v>795546.49</v>
      </c>
      <c r="T17" s="18">
        <f>'Formato 6 d)'!F25</f>
        <v>785847.13</v>
      </c>
      <c r="U17" s="18">
        <f>'Formato 6 d)'!G25</f>
        <v>352857.20999999996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2929904.59</v>
      </c>
      <c r="Q18" s="18">
        <f>'Formato 6 d)'!C26</f>
        <v>-310378.23999999999</v>
      </c>
      <c r="R18" s="18">
        <f>'Formato 6 d)'!D26</f>
        <v>2619526.35</v>
      </c>
      <c r="S18" s="18">
        <f>'Formato 6 d)'!E26</f>
        <v>1814653.68</v>
      </c>
      <c r="T18" s="18">
        <f>'Formato 6 d)'!F26</f>
        <v>1792529.27</v>
      </c>
      <c r="U18" s="18">
        <f>'Formato 6 d)'!G26</f>
        <v>804872.67000000016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655089.73</v>
      </c>
      <c r="R23" s="18">
        <f>'Formato 6 d)'!D31</f>
        <v>655089.73</v>
      </c>
      <c r="S23" s="18">
        <f>'Formato 6 d)'!E31</f>
        <v>655089.73</v>
      </c>
      <c r="T23" s="18">
        <f>'Formato 6 d)'!F31</f>
        <v>655089.73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2871731179.4099998</v>
      </c>
      <c r="Q24" s="18">
        <f>'Formato 6 d)'!C33</f>
        <v>2896066.660000002</v>
      </c>
      <c r="R24" s="18">
        <f>'Formato 6 d)'!D33</f>
        <v>2874627246.0699997</v>
      </c>
      <c r="S24" s="18">
        <f>'Formato 6 d)'!E33</f>
        <v>1926496918.3599999</v>
      </c>
      <c r="T24" s="18">
        <f>'Formato 6 d)'!F33</f>
        <v>1897313389.0900002</v>
      </c>
      <c r="U24" s="18">
        <f>'Formato 6 d)'!G33</f>
        <v>948130327.71000004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3" t="s">
        <v>413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414</v>
      </c>
      <c r="B3" s="159"/>
      <c r="C3" s="159"/>
      <c r="D3" s="159"/>
      <c r="E3" s="159"/>
      <c r="F3" s="159"/>
      <c r="G3" s="160"/>
    </row>
    <row r="4" spans="1:7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x14ac:dyDescent="0.25">
      <c r="A6" s="170" t="s">
        <v>3288</v>
      </c>
      <c r="B6" s="51">
        <f>ANIO1P</f>
        <v>2021</v>
      </c>
      <c r="C6" s="183" t="str">
        <f>ANIO2P</f>
        <v>2022 (d)</v>
      </c>
      <c r="D6" s="183" t="str">
        <f>ANIO3P</f>
        <v>2023 (d)</v>
      </c>
      <c r="E6" s="183" t="str">
        <f>ANIO4P</f>
        <v>2024 (d)</v>
      </c>
      <c r="F6" s="183" t="str">
        <f>ANIO5P</f>
        <v>2025 (d)</v>
      </c>
      <c r="G6" s="183" t="str">
        <f>ANIO6P</f>
        <v>2026 (d)</v>
      </c>
    </row>
    <row r="7" spans="1:7" ht="48" customHeight="1" x14ac:dyDescent="0.25">
      <c r="A7" s="171"/>
      <c r="B7" s="88" t="s">
        <v>3291</v>
      </c>
      <c r="C7" s="184"/>
      <c r="D7" s="184"/>
      <c r="E7" s="184"/>
      <c r="F7" s="184"/>
      <c r="G7" s="184"/>
    </row>
    <row r="8" spans="1:7" x14ac:dyDescent="0.25">
      <c r="A8" s="52" t="s">
        <v>421</v>
      </c>
      <c r="B8" s="59">
        <f>SUM(B9:B20)</f>
        <v>1686314421.46</v>
      </c>
      <c r="C8" s="59">
        <f t="shared" ref="C8:G8" si="0">SUM(C9:C20)</f>
        <v>1745335426</v>
      </c>
      <c r="D8" s="59">
        <f t="shared" si="0"/>
        <v>1806422165</v>
      </c>
      <c r="E8" s="59">
        <f t="shared" si="0"/>
        <v>1869646940</v>
      </c>
      <c r="F8" s="59">
        <f t="shared" si="0"/>
        <v>1935084583</v>
      </c>
      <c r="G8" s="59">
        <f t="shared" si="0"/>
        <v>2002812544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48003560.830000006</v>
      </c>
      <c r="C10" s="60">
        <v>49683685</v>
      </c>
      <c r="D10" s="60">
        <v>51422614</v>
      </c>
      <c r="E10" s="60">
        <v>53222405</v>
      </c>
      <c r="F10" s="60">
        <v>55085189</v>
      </c>
      <c r="G10" s="60">
        <v>57013171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439214892.63</v>
      </c>
      <c r="C15" s="60">
        <v>454587414</v>
      </c>
      <c r="D15" s="60">
        <v>470497973</v>
      </c>
      <c r="E15" s="60">
        <v>486965402</v>
      </c>
      <c r="F15" s="60">
        <v>504009191</v>
      </c>
      <c r="G15" s="60">
        <v>521649513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1199095968</v>
      </c>
      <c r="C19" s="60">
        <v>1241064327</v>
      </c>
      <c r="D19" s="60">
        <v>1284501578</v>
      </c>
      <c r="E19" s="60">
        <v>1329459133</v>
      </c>
      <c r="F19" s="60">
        <v>1375990203</v>
      </c>
      <c r="G19" s="60">
        <v>1424149860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1988111982</v>
      </c>
      <c r="C22" s="61">
        <f t="shared" ref="C22:G22" si="1">SUM(C23:C27)</f>
        <v>2057695902</v>
      </c>
      <c r="D22" s="61">
        <f t="shared" si="1"/>
        <v>2129715258</v>
      </c>
      <c r="E22" s="61">
        <f t="shared" si="1"/>
        <v>2204255293</v>
      </c>
      <c r="F22" s="61">
        <f t="shared" si="1"/>
        <v>2281404229</v>
      </c>
      <c r="G22" s="61">
        <f t="shared" si="1"/>
        <v>2361253377</v>
      </c>
    </row>
    <row r="23" spans="1:7" x14ac:dyDescent="0.25">
      <c r="A23" s="53" t="s">
        <v>423</v>
      </c>
      <c r="B23" s="60">
        <v>23699906</v>
      </c>
      <c r="C23" s="60">
        <v>24529403</v>
      </c>
      <c r="D23" s="60">
        <v>25387932</v>
      </c>
      <c r="E23" s="60">
        <v>26276510</v>
      </c>
      <c r="F23" s="60">
        <v>27196188</v>
      </c>
      <c r="G23" s="60">
        <v>28148055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1925612076</v>
      </c>
      <c r="C26" s="60">
        <v>1993008499</v>
      </c>
      <c r="D26" s="60">
        <v>2062763796</v>
      </c>
      <c r="E26" s="60">
        <v>2134960529</v>
      </c>
      <c r="F26" s="60">
        <v>2209684148</v>
      </c>
      <c r="G26" s="60">
        <v>2287023093</v>
      </c>
    </row>
    <row r="27" spans="1:7" x14ac:dyDescent="0.25">
      <c r="A27" s="53" t="s">
        <v>266</v>
      </c>
      <c r="B27" s="60">
        <v>38800000</v>
      </c>
      <c r="C27" s="60">
        <v>40158000</v>
      </c>
      <c r="D27" s="60">
        <v>41563530</v>
      </c>
      <c r="E27" s="60">
        <v>43018254</v>
      </c>
      <c r="F27" s="60">
        <v>44523893</v>
      </c>
      <c r="G27" s="60">
        <v>46082229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3674426403.46</v>
      </c>
      <c r="C32" s="61">
        <f t="shared" ref="C32:F32" si="3">C29+C22+C8</f>
        <v>3803031328</v>
      </c>
      <c r="D32" s="61">
        <f t="shared" si="3"/>
        <v>3936137423</v>
      </c>
      <c r="E32" s="61">
        <f t="shared" si="3"/>
        <v>4073902233</v>
      </c>
      <c r="F32" s="61">
        <f t="shared" si="3"/>
        <v>4216488812</v>
      </c>
      <c r="G32" s="61">
        <f>G29+G22+G8</f>
        <v>4364065921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1686314421.46</v>
      </c>
      <c r="Q2" s="18">
        <f>'Formato 7 a)'!C8</f>
        <v>1745335426</v>
      </c>
      <c r="R2" s="18">
        <f>'Formato 7 a)'!D8</f>
        <v>1806422165</v>
      </c>
      <c r="S2" s="18">
        <f>'Formato 7 a)'!E8</f>
        <v>1869646940</v>
      </c>
      <c r="T2" s="18">
        <f>'Formato 7 a)'!F8</f>
        <v>1935084583</v>
      </c>
      <c r="U2" s="18">
        <f>'Formato 7 a)'!G8</f>
        <v>2002812544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48003560.830000006</v>
      </c>
      <c r="Q4" s="18">
        <f>'Formato 7 a)'!C10</f>
        <v>49683685</v>
      </c>
      <c r="R4" s="18">
        <f>'Formato 7 a)'!D10</f>
        <v>51422614</v>
      </c>
      <c r="S4" s="18">
        <f>'Formato 7 a)'!E10</f>
        <v>53222405</v>
      </c>
      <c r="T4" s="18">
        <f>'Formato 7 a)'!F10</f>
        <v>55085189</v>
      </c>
      <c r="U4" s="18">
        <f>'Formato 7 a)'!G10</f>
        <v>57013171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439214892.63</v>
      </c>
      <c r="Q9" s="18">
        <f>'Formato 7 a)'!C15</f>
        <v>454587414</v>
      </c>
      <c r="R9" s="18">
        <f>'Formato 7 a)'!D15</f>
        <v>470497973</v>
      </c>
      <c r="S9" s="18">
        <f>'Formato 7 a)'!E15</f>
        <v>486965402</v>
      </c>
      <c r="T9" s="18">
        <f>'Formato 7 a)'!F15</f>
        <v>504009191</v>
      </c>
      <c r="U9" s="18">
        <f>'Formato 7 a)'!G15</f>
        <v>521649513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1199095968</v>
      </c>
      <c r="Q13" s="18">
        <f>'Formato 7 a)'!C19</f>
        <v>1241064327</v>
      </c>
      <c r="R13" s="18">
        <f>'Formato 7 a)'!D19</f>
        <v>1284501578</v>
      </c>
      <c r="S13" s="18">
        <f>'Formato 7 a)'!E19</f>
        <v>1329459133</v>
      </c>
      <c r="T13" s="18">
        <f>'Formato 7 a)'!F19</f>
        <v>1375990203</v>
      </c>
      <c r="U13" s="18">
        <f>'Formato 7 a)'!G19</f>
        <v>1424149860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1988111982</v>
      </c>
      <c r="Q15" s="18">
        <f>'Formato 7 a)'!C22</f>
        <v>2057695902</v>
      </c>
      <c r="R15" s="18">
        <f>'Formato 7 a)'!D22</f>
        <v>2129715258</v>
      </c>
      <c r="S15" s="18">
        <f>'Formato 7 a)'!E22</f>
        <v>2204255293</v>
      </c>
      <c r="T15" s="18">
        <f>'Formato 7 a)'!F22</f>
        <v>2281404229</v>
      </c>
      <c r="U15" s="18">
        <f>'Formato 7 a)'!G22</f>
        <v>2361253377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23699906</v>
      </c>
      <c r="Q16" s="18">
        <f>'Formato 7 a)'!C23</f>
        <v>24529403</v>
      </c>
      <c r="R16" s="18">
        <f>'Formato 7 a)'!D23</f>
        <v>25387932</v>
      </c>
      <c r="S16" s="18">
        <f>'Formato 7 a)'!E23</f>
        <v>26276510</v>
      </c>
      <c r="T16" s="18">
        <f>'Formato 7 a)'!F23</f>
        <v>27196188</v>
      </c>
      <c r="U16" s="18">
        <f>'Formato 7 a)'!G23</f>
        <v>28148055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1925612076</v>
      </c>
      <c r="Q19" s="18">
        <f>'Formato 7 a)'!C26</f>
        <v>1993008499</v>
      </c>
      <c r="R19" s="18">
        <f>'Formato 7 a)'!D26</f>
        <v>2062763796</v>
      </c>
      <c r="S19" s="18">
        <f>'Formato 7 a)'!E26</f>
        <v>2134960529</v>
      </c>
      <c r="T19" s="18">
        <f>'Formato 7 a)'!F26</f>
        <v>2209684148</v>
      </c>
      <c r="U19" s="18">
        <f>'Formato 7 a)'!G26</f>
        <v>2287023093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38800000</v>
      </c>
      <c r="Q20" s="18">
        <f>'Formato 7 a)'!C27</f>
        <v>40158000</v>
      </c>
      <c r="R20" s="18">
        <f>'Formato 7 a)'!D27</f>
        <v>41563530</v>
      </c>
      <c r="S20" s="18">
        <f>'Formato 7 a)'!E27</f>
        <v>43018254</v>
      </c>
      <c r="T20" s="18">
        <f>'Formato 7 a)'!F27</f>
        <v>44523893</v>
      </c>
      <c r="U20" s="18">
        <f>'Formato 7 a)'!G27</f>
        <v>46082229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3674426403.46</v>
      </c>
      <c r="Q23" s="18">
        <f>'Formato 7 a)'!C32</f>
        <v>3803031328</v>
      </c>
      <c r="R23" s="18">
        <f>'Formato 7 a)'!D32</f>
        <v>3936137423</v>
      </c>
      <c r="S23" s="18">
        <f>'Formato 7 a)'!E32</f>
        <v>4073902233</v>
      </c>
      <c r="T23" s="18">
        <f>'Formato 7 a)'!F32</f>
        <v>4216488812</v>
      </c>
      <c r="U23" s="18">
        <f>'Formato 7 a)'!G32</f>
        <v>4364065921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4" zoomScale="90" zoomScaleNormal="90" workbookViewId="0">
      <selection activeCell="D13" sqref="D1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3" t="s">
        <v>451</v>
      </c>
      <c r="B1" s="173"/>
      <c r="C1" s="173"/>
      <c r="D1" s="173"/>
      <c r="E1" s="173"/>
      <c r="F1" s="173"/>
      <c r="G1" s="173"/>
    </row>
    <row r="2" spans="1:7" customFormat="1" ht="14.25" x14ac:dyDescent="0.45">
      <c r="A2" s="155" t="str">
        <f>ENTIDAD</f>
        <v>Gobierno del Estado de Guanajuato</v>
      </c>
      <c r="B2" s="156"/>
      <c r="C2" s="156"/>
      <c r="D2" s="156"/>
      <c r="E2" s="156"/>
      <c r="F2" s="156"/>
      <c r="G2" s="157"/>
    </row>
    <row r="3" spans="1:7" customFormat="1" ht="14.25" x14ac:dyDescent="0.45">
      <c r="A3" s="158" t="s">
        <v>452</v>
      </c>
      <c r="B3" s="159"/>
      <c r="C3" s="159"/>
      <c r="D3" s="159"/>
      <c r="E3" s="159"/>
      <c r="F3" s="159"/>
      <c r="G3" s="160"/>
    </row>
    <row r="4" spans="1:7" customFormat="1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customFormat="1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customFormat="1" x14ac:dyDescent="0.25">
      <c r="A6" s="185" t="s">
        <v>3142</v>
      </c>
      <c r="B6" s="51">
        <f>ANIO1P</f>
        <v>2021</v>
      </c>
      <c r="C6" s="183" t="str">
        <f>ANIO2P</f>
        <v>2022 (d)</v>
      </c>
      <c r="D6" s="183" t="str">
        <f>ANIO3P</f>
        <v>2023 (d)</v>
      </c>
      <c r="E6" s="183" t="str">
        <f>ANIO4P</f>
        <v>2024 (d)</v>
      </c>
      <c r="F6" s="183" t="str">
        <f>ANIO5P</f>
        <v>2025 (d)</v>
      </c>
      <c r="G6" s="183" t="str">
        <f>ANIO6P</f>
        <v>2026 (d)</v>
      </c>
    </row>
    <row r="7" spans="1:7" customFormat="1" ht="48" customHeight="1" x14ac:dyDescent="0.25">
      <c r="A7" s="186"/>
      <c r="B7" s="88" t="s">
        <v>3291</v>
      </c>
      <c r="C7" s="184"/>
      <c r="D7" s="184"/>
      <c r="E7" s="184"/>
      <c r="F7" s="184"/>
      <c r="G7" s="184"/>
    </row>
    <row r="8" spans="1:7" x14ac:dyDescent="0.25">
      <c r="A8" s="52" t="s">
        <v>453</v>
      </c>
      <c r="B8" s="59">
        <f>SUM(B9:B17)</f>
        <v>2071238726.5848</v>
      </c>
      <c r="C8" s="59">
        <f t="shared" ref="C8:G8" si="0">SUM(C9:C17)</f>
        <v>2143732082.0152678</v>
      </c>
      <c r="D8" s="59">
        <f t="shared" si="0"/>
        <v>2218762704.8858023</v>
      </c>
      <c r="E8" s="59">
        <f t="shared" si="0"/>
        <v>2296419399.5568051</v>
      </c>
      <c r="F8" s="59">
        <f t="shared" si="0"/>
        <v>2376794078.5412927</v>
      </c>
      <c r="G8" s="59">
        <f t="shared" si="0"/>
        <v>2459981871.2999997</v>
      </c>
    </row>
    <row r="9" spans="1:7" x14ac:dyDescent="0.25">
      <c r="A9" s="53" t="s">
        <v>454</v>
      </c>
      <c r="B9" s="60">
        <v>1122022654.0028999</v>
      </c>
      <c r="C9" s="60">
        <v>1161293446.8930013</v>
      </c>
      <c r="D9" s="60">
        <v>1201938717.5342562</v>
      </c>
      <c r="E9" s="60">
        <v>1244006572.6479552</v>
      </c>
      <c r="F9" s="60">
        <v>1287546802.6906335</v>
      </c>
      <c r="G9" s="60">
        <v>1332610940.78</v>
      </c>
    </row>
    <row r="10" spans="1:7" x14ac:dyDescent="0.25">
      <c r="A10" s="53" t="s">
        <v>455</v>
      </c>
      <c r="B10" s="60">
        <v>65629330.914600022</v>
      </c>
      <c r="C10" s="60">
        <v>67926357.496611014</v>
      </c>
      <c r="D10" s="60">
        <v>70303780.008992389</v>
      </c>
      <c r="E10" s="60">
        <v>72764412.309307113</v>
      </c>
      <c r="F10" s="60">
        <v>75311166.740132853</v>
      </c>
      <c r="G10" s="60">
        <v>77947057.579999998</v>
      </c>
    </row>
    <row r="11" spans="1:7" x14ac:dyDescent="0.25">
      <c r="A11" s="53" t="s">
        <v>456</v>
      </c>
      <c r="B11" s="60">
        <v>312770491.83719993</v>
      </c>
      <c r="C11" s="60">
        <v>323717459.05150187</v>
      </c>
      <c r="D11" s="60">
        <v>335047570.11830443</v>
      </c>
      <c r="E11" s="60">
        <v>346774235.07244503</v>
      </c>
      <c r="F11" s="60">
        <v>358911333.29998058</v>
      </c>
      <c r="G11" s="60">
        <v>371473229.97000003</v>
      </c>
    </row>
    <row r="12" spans="1:7" x14ac:dyDescent="0.25">
      <c r="A12" s="53" t="s">
        <v>457</v>
      </c>
      <c r="B12" s="60">
        <v>107699736.91905001</v>
      </c>
      <c r="C12" s="60">
        <v>111469227.71121675</v>
      </c>
      <c r="D12" s="60">
        <v>115370650.68110932</v>
      </c>
      <c r="E12" s="60">
        <v>119408623.45494814</v>
      </c>
      <c r="F12" s="60">
        <v>123587925.27587132</v>
      </c>
      <c r="G12" s="60">
        <v>127913502.66</v>
      </c>
    </row>
    <row r="13" spans="1:7" x14ac:dyDescent="0.25">
      <c r="A13" s="53" t="s">
        <v>458</v>
      </c>
      <c r="B13" s="60">
        <v>221186505.13874996</v>
      </c>
      <c r="C13" s="60">
        <v>228928032.8186062</v>
      </c>
      <c r="D13" s="60">
        <v>236940513.96725741</v>
      </c>
      <c r="E13" s="60">
        <v>245233431.9561114</v>
      </c>
      <c r="F13" s="60">
        <v>253816602.07457528</v>
      </c>
      <c r="G13" s="60">
        <v>262700183.15000001</v>
      </c>
    </row>
    <row r="14" spans="1:7" x14ac:dyDescent="0.25">
      <c r="A14" s="53" t="s">
        <v>459</v>
      </c>
      <c r="B14" s="60">
        <v>241930007.7723</v>
      </c>
      <c r="C14" s="60">
        <v>250397558.04433048</v>
      </c>
      <c r="D14" s="60">
        <v>259161472.57588202</v>
      </c>
      <c r="E14" s="60">
        <v>268232124.11603788</v>
      </c>
      <c r="F14" s="60">
        <v>277620248.46009916</v>
      </c>
      <c r="G14" s="60">
        <v>287336957.16000003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2076126343.7548499</v>
      </c>
      <c r="C19" s="61">
        <f t="shared" ref="C19:G19" si="1">SUM(C20:C28)</f>
        <v>2148790765.7862697</v>
      </c>
      <c r="D19" s="61">
        <f t="shared" si="1"/>
        <v>2223998442.5887885</v>
      </c>
      <c r="E19" s="61">
        <f t="shared" si="1"/>
        <v>2301838388.0793962</v>
      </c>
      <c r="F19" s="61">
        <f t="shared" si="1"/>
        <v>2382402731.6621752</v>
      </c>
      <c r="G19" s="61">
        <f t="shared" si="1"/>
        <v>2465786827.2599998</v>
      </c>
    </row>
    <row r="20" spans="1:7" x14ac:dyDescent="0.25">
      <c r="A20" s="53" t="s">
        <v>454</v>
      </c>
      <c r="B20" s="60">
        <v>1850219116.68645</v>
      </c>
      <c r="C20" s="60">
        <v>1914976785.7704756</v>
      </c>
      <c r="D20" s="60">
        <v>1982000973.2724421</v>
      </c>
      <c r="E20" s="60">
        <v>2051371007.3369775</v>
      </c>
      <c r="F20" s="60">
        <v>2123168992.5937715</v>
      </c>
      <c r="G20" s="60">
        <v>2197479907.3299999</v>
      </c>
    </row>
    <row r="21" spans="1:7" x14ac:dyDescent="0.25">
      <c r="A21" s="53" t="s">
        <v>455</v>
      </c>
      <c r="B21" s="60">
        <v>63165781.386449993</v>
      </c>
      <c r="C21" s="60">
        <v>65376583.73497574</v>
      </c>
      <c r="D21" s="60">
        <v>67664764.165699884</v>
      </c>
      <c r="E21" s="60">
        <v>70033030.911499381</v>
      </c>
      <c r="F21" s="60">
        <v>72484186.993401855</v>
      </c>
      <c r="G21" s="60">
        <v>75021133.540000007</v>
      </c>
    </row>
    <row r="22" spans="1:7" x14ac:dyDescent="0.25">
      <c r="A22" s="53" t="s">
        <v>456</v>
      </c>
      <c r="B22" s="60">
        <v>80478009.108899996</v>
      </c>
      <c r="C22" s="60">
        <v>83294739.427711487</v>
      </c>
      <c r="D22" s="60">
        <v>86210055.307681382</v>
      </c>
      <c r="E22" s="60">
        <v>89227407.243450224</v>
      </c>
      <c r="F22" s="60">
        <v>92350366.496970981</v>
      </c>
      <c r="G22" s="60">
        <v>95582629.319999993</v>
      </c>
    </row>
    <row r="23" spans="1:7" x14ac:dyDescent="0.25">
      <c r="A23" s="53" t="s">
        <v>457</v>
      </c>
      <c r="B23" s="60">
        <v>13853026.534499997</v>
      </c>
      <c r="C23" s="60">
        <v>14337882.463207496</v>
      </c>
      <c r="D23" s="60">
        <v>14839708.349419758</v>
      </c>
      <c r="E23" s="60">
        <v>15359098.141649447</v>
      </c>
      <c r="F23" s="60">
        <v>15896666.576607177</v>
      </c>
      <c r="G23" s="60">
        <v>16453049.91</v>
      </c>
    </row>
    <row r="24" spans="1:7" x14ac:dyDescent="0.25">
      <c r="A24" s="53" t="s">
        <v>458</v>
      </c>
      <c r="B24" s="60">
        <v>43914476.402999997</v>
      </c>
      <c r="C24" s="60">
        <v>45451483.077104993</v>
      </c>
      <c r="D24" s="60">
        <v>47042284.984803662</v>
      </c>
      <c r="E24" s="60">
        <v>48688764.959271789</v>
      </c>
      <c r="F24" s="60">
        <v>50392871.732846297</v>
      </c>
      <c r="G24" s="60">
        <v>52156622.240000002</v>
      </c>
    </row>
    <row r="25" spans="1:7" x14ac:dyDescent="0.25">
      <c r="A25" s="53" t="s">
        <v>459</v>
      </c>
      <c r="B25" s="60">
        <v>24495933.63555</v>
      </c>
      <c r="C25" s="60">
        <v>25353291.31279425</v>
      </c>
      <c r="D25" s="60">
        <v>26240656.508742046</v>
      </c>
      <c r="E25" s="60">
        <v>27159079.486548014</v>
      </c>
      <c r="F25" s="60">
        <v>28109647.268577192</v>
      </c>
      <c r="G25" s="60">
        <v>29093484.920000002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4147365070.3396502</v>
      </c>
      <c r="C30" s="61">
        <f t="shared" ref="C30:G30" si="2">C8+C19</f>
        <v>4292522847.8015375</v>
      </c>
      <c r="D30" s="61">
        <f t="shared" si="2"/>
        <v>4442761147.4745903</v>
      </c>
      <c r="E30" s="61">
        <f t="shared" si="2"/>
        <v>4598257787.6362019</v>
      </c>
      <c r="F30" s="61">
        <f t="shared" si="2"/>
        <v>4759196810.2034683</v>
      </c>
      <c r="G30" s="61">
        <f t="shared" si="2"/>
        <v>4925768698.5599995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2071238726.5848</v>
      </c>
      <c r="Q2" s="18">
        <f>'Formato 7 b)'!C8</f>
        <v>2143732082.0152678</v>
      </c>
      <c r="R2" s="18">
        <f>'Formato 7 b)'!D8</f>
        <v>2218762704.8858023</v>
      </c>
      <c r="S2" s="18">
        <f>'Formato 7 b)'!E8</f>
        <v>2296419399.5568051</v>
      </c>
      <c r="T2" s="18">
        <f>'Formato 7 b)'!F8</f>
        <v>2376794078.5412927</v>
      </c>
      <c r="U2" s="18">
        <f>'Formato 7 b)'!G8</f>
        <v>2459981871.2999997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1122022654.0028999</v>
      </c>
      <c r="Q3" s="18">
        <f>'Formato 7 b)'!C9</f>
        <v>1161293446.8930013</v>
      </c>
      <c r="R3" s="18">
        <f>'Formato 7 b)'!D9</f>
        <v>1201938717.5342562</v>
      </c>
      <c r="S3" s="18">
        <f>'Formato 7 b)'!E9</f>
        <v>1244006572.6479552</v>
      </c>
      <c r="T3" s="18">
        <f>'Formato 7 b)'!F9</f>
        <v>1287546802.6906335</v>
      </c>
      <c r="U3" s="18">
        <f>'Formato 7 b)'!G9</f>
        <v>1332610940.78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65629330.914600022</v>
      </c>
      <c r="Q4" s="18">
        <f>'Formato 7 b)'!C10</f>
        <v>67926357.496611014</v>
      </c>
      <c r="R4" s="18">
        <f>'Formato 7 b)'!D10</f>
        <v>70303780.008992389</v>
      </c>
      <c r="S4" s="18">
        <f>'Formato 7 b)'!E10</f>
        <v>72764412.309307113</v>
      </c>
      <c r="T4" s="18">
        <f>'Formato 7 b)'!F10</f>
        <v>75311166.740132853</v>
      </c>
      <c r="U4" s="18">
        <f>'Formato 7 b)'!G10</f>
        <v>77947057.579999998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312770491.83719993</v>
      </c>
      <c r="Q5" s="18">
        <f>'Formato 7 b)'!C11</f>
        <v>323717459.05150187</v>
      </c>
      <c r="R5" s="18">
        <f>'Formato 7 b)'!D11</f>
        <v>335047570.11830443</v>
      </c>
      <c r="S5" s="18">
        <f>'Formato 7 b)'!E11</f>
        <v>346774235.07244503</v>
      </c>
      <c r="T5" s="18">
        <f>'Formato 7 b)'!F11</f>
        <v>358911333.29998058</v>
      </c>
      <c r="U5" s="18">
        <f>'Formato 7 b)'!G11</f>
        <v>371473229.97000003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107699736.91905001</v>
      </c>
      <c r="Q6" s="18">
        <f>'Formato 7 b)'!C12</f>
        <v>111469227.71121675</v>
      </c>
      <c r="R6" s="18">
        <f>'Formato 7 b)'!D12</f>
        <v>115370650.68110932</v>
      </c>
      <c r="S6" s="18">
        <f>'Formato 7 b)'!E12</f>
        <v>119408623.45494814</v>
      </c>
      <c r="T6" s="18">
        <f>'Formato 7 b)'!F12</f>
        <v>123587925.27587132</v>
      </c>
      <c r="U6" s="18">
        <f>'Formato 7 b)'!G12</f>
        <v>127913502.66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221186505.13874996</v>
      </c>
      <c r="Q7" s="18">
        <f>'Formato 7 b)'!C13</f>
        <v>228928032.8186062</v>
      </c>
      <c r="R7" s="18">
        <f>'Formato 7 b)'!D13</f>
        <v>236940513.96725741</v>
      </c>
      <c r="S7" s="18">
        <f>'Formato 7 b)'!E13</f>
        <v>245233431.9561114</v>
      </c>
      <c r="T7" s="18">
        <f>'Formato 7 b)'!F13</f>
        <v>253816602.07457528</v>
      </c>
      <c r="U7" s="18">
        <f>'Formato 7 b)'!G13</f>
        <v>262700183.15000001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241930007.7723</v>
      </c>
      <c r="Q8" s="18">
        <f>'Formato 7 b)'!C14</f>
        <v>250397558.04433048</v>
      </c>
      <c r="R8" s="18">
        <f>'Formato 7 b)'!D14</f>
        <v>259161472.57588202</v>
      </c>
      <c r="S8" s="18">
        <f>'Formato 7 b)'!E14</f>
        <v>268232124.11603788</v>
      </c>
      <c r="T8" s="18">
        <f>'Formato 7 b)'!F14</f>
        <v>277620248.46009916</v>
      </c>
      <c r="U8" s="18">
        <f>'Formato 7 b)'!G14</f>
        <v>287336957.16000003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2076126343.7548499</v>
      </c>
      <c r="Q12" s="18">
        <f>'Formato 7 b)'!C19</f>
        <v>2148790765.7862697</v>
      </c>
      <c r="R12" s="18">
        <f>'Formato 7 b)'!D19</f>
        <v>2223998442.5887885</v>
      </c>
      <c r="S12" s="18">
        <f>'Formato 7 b)'!E19</f>
        <v>2301838388.0793962</v>
      </c>
      <c r="T12" s="18">
        <f>'Formato 7 b)'!F19</f>
        <v>2382402731.6621752</v>
      </c>
      <c r="U12" s="18">
        <f>'Formato 7 b)'!G19</f>
        <v>2465786827.2599998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1850219116.68645</v>
      </c>
      <c r="Q13" s="18">
        <f>'Formato 7 b)'!C20</f>
        <v>1914976785.7704756</v>
      </c>
      <c r="R13" s="18">
        <f>'Formato 7 b)'!D20</f>
        <v>1982000973.2724421</v>
      </c>
      <c r="S13" s="18">
        <f>'Formato 7 b)'!E20</f>
        <v>2051371007.3369775</v>
      </c>
      <c r="T13" s="18">
        <f>'Formato 7 b)'!F20</f>
        <v>2123168992.5937715</v>
      </c>
      <c r="U13" s="18">
        <f>'Formato 7 b)'!G20</f>
        <v>2197479907.3299999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63165781.386449993</v>
      </c>
      <c r="Q14" s="18">
        <f>'Formato 7 b)'!C21</f>
        <v>65376583.73497574</v>
      </c>
      <c r="R14" s="18">
        <f>'Formato 7 b)'!D21</f>
        <v>67664764.165699884</v>
      </c>
      <c r="S14" s="18">
        <f>'Formato 7 b)'!E21</f>
        <v>70033030.911499381</v>
      </c>
      <c r="T14" s="18">
        <f>'Formato 7 b)'!F21</f>
        <v>72484186.993401855</v>
      </c>
      <c r="U14" s="18">
        <f>'Formato 7 b)'!G21</f>
        <v>75021133.540000007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80478009.108899996</v>
      </c>
      <c r="Q15" s="18">
        <f>'Formato 7 b)'!C22</f>
        <v>83294739.427711487</v>
      </c>
      <c r="R15" s="18">
        <f>'Formato 7 b)'!D22</f>
        <v>86210055.307681382</v>
      </c>
      <c r="S15" s="18">
        <f>'Formato 7 b)'!E22</f>
        <v>89227407.243450224</v>
      </c>
      <c r="T15" s="18">
        <f>'Formato 7 b)'!F22</f>
        <v>92350366.496970981</v>
      </c>
      <c r="U15" s="18">
        <f>'Formato 7 b)'!G22</f>
        <v>95582629.319999993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13853026.534499997</v>
      </c>
      <c r="Q16" s="18">
        <f>'Formato 7 b)'!C23</f>
        <v>14337882.463207496</v>
      </c>
      <c r="R16" s="18">
        <f>'Formato 7 b)'!D23</f>
        <v>14839708.349419758</v>
      </c>
      <c r="S16" s="18">
        <f>'Formato 7 b)'!E23</f>
        <v>15359098.141649447</v>
      </c>
      <c r="T16" s="18">
        <f>'Formato 7 b)'!F23</f>
        <v>15896666.576607177</v>
      </c>
      <c r="U16" s="18">
        <f>'Formato 7 b)'!G23</f>
        <v>16453049.91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43914476.402999997</v>
      </c>
      <c r="Q17" s="18">
        <f>'Formato 7 b)'!C24</f>
        <v>45451483.077104993</v>
      </c>
      <c r="R17" s="18">
        <f>'Formato 7 b)'!D24</f>
        <v>47042284.984803662</v>
      </c>
      <c r="S17" s="18">
        <f>'Formato 7 b)'!E24</f>
        <v>48688764.959271789</v>
      </c>
      <c r="T17" s="18">
        <f>'Formato 7 b)'!F24</f>
        <v>50392871.732846297</v>
      </c>
      <c r="U17" s="18">
        <f>'Formato 7 b)'!G24</f>
        <v>52156622.240000002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24495933.63555</v>
      </c>
      <c r="Q18" s="18">
        <f>'Formato 7 b)'!C25</f>
        <v>25353291.31279425</v>
      </c>
      <c r="R18" s="18">
        <f>'Formato 7 b)'!D25</f>
        <v>26240656.508742046</v>
      </c>
      <c r="S18" s="18">
        <f>'Formato 7 b)'!E25</f>
        <v>27159079.486548014</v>
      </c>
      <c r="T18" s="18">
        <f>'Formato 7 b)'!F25</f>
        <v>28109647.268577192</v>
      </c>
      <c r="U18" s="18">
        <f>'Formato 7 b)'!G25</f>
        <v>29093484.920000002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4147365070.3396502</v>
      </c>
      <c r="Q22" s="18">
        <f>'Formato 7 b)'!C30</f>
        <v>4292522847.8015375</v>
      </c>
      <c r="R22" s="18">
        <f>'Formato 7 b)'!D30</f>
        <v>4442761147.4745903</v>
      </c>
      <c r="S22" s="18">
        <f>'Formato 7 b)'!E30</f>
        <v>4598257787.6362019</v>
      </c>
      <c r="T22" s="18">
        <f>'Formato 7 b)'!F30</f>
        <v>4759196810.2034683</v>
      </c>
      <c r="U22" s="18">
        <f>'Formato 7 b)'!G30</f>
        <v>4925768698.5599995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85" zoomScaleNormal="85" workbookViewId="0">
      <selection activeCell="B36" sqref="B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466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467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0" t="s">
        <v>3288</v>
      </c>
      <c r="B5" s="188" t="str">
        <f>ANIO5R</f>
        <v>2015 ¹ (c)</v>
      </c>
      <c r="C5" s="188" t="str">
        <f>ANIO4R</f>
        <v>2016 ¹ (c)</v>
      </c>
      <c r="D5" s="188" t="str">
        <f>ANIO3R</f>
        <v>2017 ¹ (c)</v>
      </c>
      <c r="E5" s="188" t="str">
        <f>ANIO2R</f>
        <v>2018 ¹ (c)</v>
      </c>
      <c r="F5" s="188" t="str">
        <f>ANIO1R</f>
        <v>2019 ¹ (c)</v>
      </c>
      <c r="G5" s="51">
        <f>ANIO_INFORME</f>
        <v>2020</v>
      </c>
    </row>
    <row r="6" spans="1:7" ht="32.1" customHeight="1" x14ac:dyDescent="0.25">
      <c r="A6" s="191"/>
      <c r="B6" s="189"/>
      <c r="C6" s="189"/>
      <c r="D6" s="189"/>
      <c r="E6" s="189"/>
      <c r="F6" s="189"/>
      <c r="G6" s="88" t="s">
        <v>3294</v>
      </c>
    </row>
    <row r="7" spans="1:7" x14ac:dyDescent="0.25">
      <c r="A7" s="52" t="s">
        <v>468</v>
      </c>
      <c r="B7" s="59">
        <f>SUM(B8:B19)</f>
        <v>1310477298</v>
      </c>
      <c r="C7" s="59">
        <f t="shared" ref="C7:G7" si="0">SUM(C8:C19)</f>
        <v>1205921489.0499997</v>
      </c>
      <c r="D7" s="59">
        <f t="shared" si="0"/>
        <v>1264488422.4199996</v>
      </c>
      <c r="E7" s="59">
        <f t="shared" si="0"/>
        <v>1343969634.0100002</v>
      </c>
      <c r="F7" s="59">
        <f t="shared" si="0"/>
        <v>1458914763.0627339</v>
      </c>
      <c r="G7" s="59">
        <f t="shared" si="0"/>
        <v>1146405196.6500001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18541270</v>
      </c>
      <c r="C9" s="60">
        <v>20680185.09</v>
      </c>
      <c r="D9" s="60">
        <v>20107182.080000002</v>
      </c>
      <c r="E9" s="60">
        <v>38236433.859999999</v>
      </c>
      <c r="F9" s="60">
        <v>46012715.089999996</v>
      </c>
      <c r="G9" s="60">
        <f>+'Formato 5'!F10</f>
        <v>35073353.600000009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526436511</v>
      </c>
      <c r="C14" s="60">
        <v>411474065.6899997</v>
      </c>
      <c r="D14" s="60">
        <v>444844124.56999975</v>
      </c>
      <c r="E14" s="60">
        <v>466047465.3300001</v>
      </c>
      <c r="F14" s="60">
        <v>471952644.43000007</v>
      </c>
      <c r="G14" s="60">
        <f>+'Formato 5'!F15</f>
        <v>340898862.66999996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765499517</v>
      </c>
      <c r="C18" s="60">
        <v>773767238.26999998</v>
      </c>
      <c r="D18" s="60">
        <v>799537115.76999998</v>
      </c>
      <c r="E18" s="60">
        <v>839685734.82000005</v>
      </c>
      <c r="F18" s="60">
        <v>940949403.54273391</v>
      </c>
      <c r="G18" s="60">
        <v>770432980.38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1923529858</v>
      </c>
      <c r="C21" s="61">
        <f t="shared" ref="C21:G21" si="1">SUM(C22:C26)</f>
        <v>1812654694.8200002</v>
      </c>
      <c r="D21" s="61">
        <f t="shared" si="1"/>
        <v>1905249032.1299999</v>
      </c>
      <c r="E21" s="61">
        <f t="shared" si="1"/>
        <v>1983169646.1700001</v>
      </c>
      <c r="F21" s="61">
        <f t="shared" si="1"/>
        <v>1982074750.79</v>
      </c>
      <c r="G21" s="61">
        <f t="shared" si="1"/>
        <v>1457608423.3300002</v>
      </c>
    </row>
    <row r="22" spans="1:7" x14ac:dyDescent="0.25">
      <c r="A22" s="53" t="s">
        <v>480</v>
      </c>
      <c r="B22" s="60">
        <v>33304321</v>
      </c>
      <c r="C22" s="60">
        <v>18726974.960000053</v>
      </c>
      <c r="D22" s="60">
        <v>64752113.080000006</v>
      </c>
      <c r="E22" s="60">
        <v>89285627.469999984</v>
      </c>
      <c r="F22" s="60">
        <v>79497956.400000006</v>
      </c>
      <c r="G22" s="60">
        <v>21033070.93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>+'Formato 5'!F24</f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>+'Formato 5'!F25</f>
        <v>0</v>
      </c>
    </row>
    <row r="25" spans="1:7" x14ac:dyDescent="0.25">
      <c r="A25" s="53" t="s">
        <v>483</v>
      </c>
      <c r="B25" s="60">
        <v>1550793745</v>
      </c>
      <c r="C25" s="60">
        <v>1636129118.6400001</v>
      </c>
      <c r="D25" s="60">
        <v>1695837840</v>
      </c>
      <c r="E25" s="60">
        <v>1767907408</v>
      </c>
      <c r="F25" s="60">
        <v>1830232120</v>
      </c>
      <c r="G25" s="60">
        <v>1430064000</v>
      </c>
    </row>
    <row r="26" spans="1:7" x14ac:dyDescent="0.25">
      <c r="A26" s="53" t="s">
        <v>484</v>
      </c>
      <c r="B26" s="60">
        <v>339431792</v>
      </c>
      <c r="C26" s="60">
        <v>157798601.21999997</v>
      </c>
      <c r="D26" s="60">
        <v>144659079.04999998</v>
      </c>
      <c r="E26" s="60">
        <v>125976610.7</v>
      </c>
      <c r="F26" s="60">
        <v>72344674.389999986</v>
      </c>
      <c r="G26" s="60">
        <v>6511352.4000000954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+'Formato 5'!F30</f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3234007156</v>
      </c>
      <c r="C31" s="61">
        <f t="shared" ref="C31:G31" si="3">C7+C21+C28</f>
        <v>3018576183.8699999</v>
      </c>
      <c r="D31" s="61">
        <f t="shared" si="3"/>
        <v>3169737454.5499992</v>
      </c>
      <c r="E31" s="61">
        <f t="shared" si="3"/>
        <v>3327139280.1800003</v>
      </c>
      <c r="F31" s="61">
        <f t="shared" si="3"/>
        <v>3440989513.8527336</v>
      </c>
      <c r="G31" s="61">
        <f t="shared" si="3"/>
        <v>2604013619.9800005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>+'Formato 5'!F35</f>
        <v>770432980.38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+'Formato 5'!F36</f>
        <v>770432980.38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1540865960.76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7" t="s">
        <v>3292</v>
      </c>
      <c r="B39" s="187"/>
      <c r="C39" s="187"/>
      <c r="D39" s="187"/>
      <c r="E39" s="187"/>
      <c r="F39" s="187"/>
      <c r="G39" s="187"/>
    </row>
    <row r="40" spans="1:7" ht="15" customHeight="1" x14ac:dyDescent="0.25">
      <c r="A40" s="187" t="s">
        <v>3293</v>
      </c>
      <c r="B40" s="187"/>
      <c r="C40" s="187"/>
      <c r="D40" s="187"/>
      <c r="E40" s="187"/>
      <c r="F40" s="187"/>
      <c r="G40" s="18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1310477298</v>
      </c>
      <c r="Q2" s="18">
        <f>'Formato 7 c)'!C7</f>
        <v>1205921489.0499997</v>
      </c>
      <c r="R2" s="18">
        <f>'Formato 7 c)'!D7</f>
        <v>1264488422.4199996</v>
      </c>
      <c r="S2" s="18">
        <f>'Formato 7 c)'!E7</f>
        <v>1343969634.0100002</v>
      </c>
      <c r="T2" s="18">
        <f>'Formato 7 c)'!F7</f>
        <v>1458914763.0627339</v>
      </c>
      <c r="U2" s="18">
        <f>'Formato 7 c)'!G7</f>
        <v>1146405196.6500001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18541270</v>
      </c>
      <c r="Q4" s="18">
        <f>'Formato 7 c)'!C9</f>
        <v>20680185.09</v>
      </c>
      <c r="R4" s="18">
        <f>'Formato 7 c)'!D9</f>
        <v>20107182.080000002</v>
      </c>
      <c r="S4" s="18">
        <f>'Formato 7 c)'!E9</f>
        <v>38236433.859999999</v>
      </c>
      <c r="T4" s="18">
        <f>'Formato 7 c)'!F9</f>
        <v>46012715.089999996</v>
      </c>
      <c r="U4" s="18">
        <f>'Formato 7 c)'!G9</f>
        <v>35073353.600000009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526436511</v>
      </c>
      <c r="Q9" s="18">
        <f>'Formato 7 c)'!C14</f>
        <v>411474065.6899997</v>
      </c>
      <c r="R9" s="18">
        <f>'Formato 7 c)'!D14</f>
        <v>444844124.56999975</v>
      </c>
      <c r="S9" s="18">
        <f>'Formato 7 c)'!E14</f>
        <v>466047465.3300001</v>
      </c>
      <c r="T9" s="18">
        <f>'Formato 7 c)'!F14</f>
        <v>471952644.43000007</v>
      </c>
      <c r="U9" s="18">
        <f>'Formato 7 c)'!G14</f>
        <v>340898862.66999996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765499517</v>
      </c>
      <c r="Q13" s="18">
        <f>'Formato 7 c)'!C18</f>
        <v>773767238.26999998</v>
      </c>
      <c r="R13" s="18">
        <f>'Formato 7 c)'!D18</f>
        <v>799537115.76999998</v>
      </c>
      <c r="S13" s="18">
        <f>'Formato 7 c)'!E18</f>
        <v>839685734.82000005</v>
      </c>
      <c r="T13" s="18">
        <f>'Formato 7 c)'!F18</f>
        <v>940949403.54273391</v>
      </c>
      <c r="U13" s="18">
        <f>'Formato 7 c)'!G18</f>
        <v>770432980.38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1923529858</v>
      </c>
      <c r="Q15" s="18">
        <f>'Formato 7 c)'!C21</f>
        <v>1812654694.8200002</v>
      </c>
      <c r="R15" s="18">
        <f>'Formato 7 c)'!D21</f>
        <v>1905249032.1299999</v>
      </c>
      <c r="S15" s="18">
        <f>'Formato 7 c)'!E21</f>
        <v>1983169646.1700001</v>
      </c>
      <c r="T15" s="18">
        <f>'Formato 7 c)'!F21</f>
        <v>1982074750.79</v>
      </c>
      <c r="U15" s="18">
        <f>'Formato 7 c)'!G21</f>
        <v>1457608423.3300002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33304321</v>
      </c>
      <c r="Q16" s="18">
        <f>'Formato 7 c)'!C22</f>
        <v>18726974.960000053</v>
      </c>
      <c r="R16" s="18">
        <f>'Formato 7 c)'!D22</f>
        <v>64752113.080000006</v>
      </c>
      <c r="S16" s="18">
        <f>'Formato 7 c)'!E22</f>
        <v>89285627.469999984</v>
      </c>
      <c r="T16" s="18">
        <f>'Formato 7 c)'!F22</f>
        <v>79497956.400000006</v>
      </c>
      <c r="U16" s="18">
        <f>'Formato 7 c)'!G22</f>
        <v>21033070.93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1550793745</v>
      </c>
      <c r="Q19" s="18">
        <f>'Formato 7 c)'!C25</f>
        <v>1636129118.6400001</v>
      </c>
      <c r="R19" s="18">
        <f>'Formato 7 c)'!D25</f>
        <v>1695837840</v>
      </c>
      <c r="S19" s="18">
        <f>'Formato 7 c)'!E25</f>
        <v>1767907408</v>
      </c>
      <c r="T19" s="18">
        <f>'Formato 7 c)'!F25</f>
        <v>1830232120</v>
      </c>
      <c r="U19" s="18">
        <f>'Formato 7 c)'!G25</f>
        <v>1430064000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339431792</v>
      </c>
      <c r="Q20" s="18">
        <f>'Formato 7 c)'!C26</f>
        <v>157798601.21999997</v>
      </c>
      <c r="R20" s="18">
        <f>'Formato 7 c)'!D26</f>
        <v>144659079.04999998</v>
      </c>
      <c r="S20" s="18">
        <f>'Formato 7 c)'!E26</f>
        <v>125976610.7</v>
      </c>
      <c r="T20" s="18">
        <f>'Formato 7 c)'!F26</f>
        <v>72344674.389999986</v>
      </c>
      <c r="U20" s="18">
        <f>'Formato 7 c)'!G26</f>
        <v>6511352.4000000954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3234007156</v>
      </c>
      <c r="Q23" s="18">
        <f>'Formato 7 c)'!C31</f>
        <v>3018576183.8699999</v>
      </c>
      <c r="R23" s="18">
        <f>'Formato 7 c)'!D31</f>
        <v>3169737454.5499992</v>
      </c>
      <c r="S23" s="18">
        <f>'Formato 7 c)'!E31</f>
        <v>3327139280.1800003</v>
      </c>
      <c r="T23" s="18">
        <f>'Formato 7 c)'!F31</f>
        <v>3440989513.8527336</v>
      </c>
      <c r="U23" s="18">
        <f>'Formato 7 c)'!G31</f>
        <v>2604013619.9800005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770432980.38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770432980.38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1540865960.76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2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490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491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2" t="s">
        <v>3142</v>
      </c>
      <c r="B5" s="188" t="str">
        <f>ANIO5R</f>
        <v>2015 ¹ (c)</v>
      </c>
      <c r="C5" s="188" t="str">
        <f>ANIO4R</f>
        <v>2016 ¹ (c)</v>
      </c>
      <c r="D5" s="188" t="str">
        <f>ANIO3R</f>
        <v>2017 ¹ (c)</v>
      </c>
      <c r="E5" s="188" t="str">
        <f>ANIO2R</f>
        <v>2018 ¹ (c)</v>
      </c>
      <c r="F5" s="188" t="str">
        <f>ANIO1R</f>
        <v>2019 ¹ (c)</v>
      </c>
      <c r="G5" s="51">
        <f>ANIO_INFORME</f>
        <v>2020</v>
      </c>
    </row>
    <row r="6" spans="1:7" ht="32.1" customHeight="1" x14ac:dyDescent="0.25">
      <c r="A6" s="193"/>
      <c r="B6" s="189"/>
      <c r="C6" s="189"/>
      <c r="D6" s="189"/>
      <c r="E6" s="189"/>
      <c r="F6" s="189"/>
      <c r="G6" s="88" t="s">
        <v>3295</v>
      </c>
    </row>
    <row r="7" spans="1:7" ht="14.25" x14ac:dyDescent="0.45">
      <c r="A7" s="52" t="s">
        <v>492</v>
      </c>
      <c r="B7" s="59">
        <f>SUM(B8:B16)</f>
        <v>1028908852.1471654</v>
      </c>
      <c r="C7" s="59">
        <f t="shared" ref="C7:G7" si="0">SUM(C8:C16)</f>
        <v>662033702.4987998</v>
      </c>
      <c r="D7" s="59">
        <f t="shared" si="0"/>
        <v>1308021982.1300001</v>
      </c>
      <c r="E7" s="59">
        <f t="shared" si="0"/>
        <v>1507119606.3499997</v>
      </c>
      <c r="F7" s="59">
        <f t="shared" si="0"/>
        <v>1548721634.1799989</v>
      </c>
      <c r="G7" s="59">
        <f t="shared" si="0"/>
        <v>1923919069.2699997</v>
      </c>
    </row>
    <row r="8" spans="1:7" x14ac:dyDescent="0.25">
      <c r="A8" s="53" t="s">
        <v>454</v>
      </c>
      <c r="B8" s="60">
        <v>698717640.04030406</v>
      </c>
      <c r="C8" s="60">
        <v>131374008.33879973</v>
      </c>
      <c r="D8" s="60">
        <v>727345184.53000009</v>
      </c>
      <c r="E8" s="60">
        <v>822822833.81999946</v>
      </c>
      <c r="F8" s="60">
        <v>949506847.02999926</v>
      </c>
      <c r="G8" s="60">
        <v>1102815920.8199999</v>
      </c>
    </row>
    <row r="9" spans="1:7" x14ac:dyDescent="0.25">
      <c r="A9" s="53" t="s">
        <v>455</v>
      </c>
      <c r="B9" s="60">
        <v>37656024.182449989</v>
      </c>
      <c r="C9" s="60">
        <v>23542956.199999999</v>
      </c>
      <c r="D9" s="60">
        <v>53744761.110000007</v>
      </c>
      <c r="E9" s="60">
        <v>70775291.430000097</v>
      </c>
      <c r="F9" s="60">
        <v>63764415.470000073</v>
      </c>
      <c r="G9" s="60">
        <v>104400382.78999999</v>
      </c>
    </row>
    <row r="10" spans="1:7" x14ac:dyDescent="0.25">
      <c r="A10" s="53" t="s">
        <v>456</v>
      </c>
      <c r="B10" s="60">
        <v>121371314.8465915</v>
      </c>
      <c r="C10" s="60">
        <v>94942261.379999995</v>
      </c>
      <c r="D10" s="60">
        <v>215536069.94000003</v>
      </c>
      <c r="E10" s="60">
        <v>281159304.73000008</v>
      </c>
      <c r="F10" s="60">
        <v>291062466.48999971</v>
      </c>
      <c r="G10" s="60">
        <v>318699044.66999984</v>
      </c>
    </row>
    <row r="11" spans="1:7" x14ac:dyDescent="0.25">
      <c r="A11" s="53" t="s">
        <v>457</v>
      </c>
      <c r="B11" s="60">
        <v>161340381.27706003</v>
      </c>
      <c r="C11" s="60">
        <v>59393110.289999999</v>
      </c>
      <c r="D11" s="60">
        <v>149220342.77999997</v>
      </c>
      <c r="E11" s="60">
        <v>128846208.31000006</v>
      </c>
      <c r="F11" s="60">
        <v>96157858.830000028</v>
      </c>
      <c r="G11" s="60">
        <v>114877703.69000006</v>
      </c>
    </row>
    <row r="12" spans="1:7" x14ac:dyDescent="0.25">
      <c r="A12" s="53" t="s">
        <v>458</v>
      </c>
      <c r="B12" s="60">
        <v>8291117.3907600008</v>
      </c>
      <c r="C12" s="60">
        <v>151156505.88999999</v>
      </c>
      <c r="D12" s="60">
        <v>50107821.29999999</v>
      </c>
      <c r="E12" s="60">
        <v>124609037.61000006</v>
      </c>
      <c r="F12" s="60">
        <v>81738164.699999914</v>
      </c>
      <c r="G12" s="60">
        <v>192789365.25000009</v>
      </c>
    </row>
    <row r="13" spans="1:7" x14ac:dyDescent="0.25">
      <c r="A13" s="53" t="s">
        <v>459</v>
      </c>
      <c r="B13" s="60">
        <v>1532374.4100000001</v>
      </c>
      <c r="C13" s="60">
        <v>201393184.02000007</v>
      </c>
      <c r="D13" s="60">
        <v>112067802.47000001</v>
      </c>
      <c r="E13" s="60">
        <v>78906930.450000003</v>
      </c>
      <c r="F13" s="60">
        <v>59991881.659999989</v>
      </c>
      <c r="G13" s="60">
        <v>90336652.049999997</v>
      </c>
    </row>
    <row r="14" spans="1:7" x14ac:dyDescent="0.25">
      <c r="A14" s="53" t="s">
        <v>460</v>
      </c>
      <c r="B14" s="60">
        <v>0</v>
      </c>
      <c r="C14" s="60">
        <v>231676.38</v>
      </c>
      <c r="D14" s="60">
        <v>0</v>
      </c>
      <c r="E14" s="60">
        <v>0</v>
      </c>
      <c r="F14" s="60">
        <v>6500000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2015807402.9881349</v>
      </c>
      <c r="C18" s="61">
        <f t="shared" ref="C18:G18" si="1">SUM(C19:C27)</f>
        <v>2559333252.9422998</v>
      </c>
      <c r="D18" s="61">
        <f t="shared" si="1"/>
        <v>1914373628.95</v>
      </c>
      <c r="E18" s="61">
        <f t="shared" si="1"/>
        <v>2023475534.7299986</v>
      </c>
      <c r="F18" s="61">
        <f t="shared" si="1"/>
        <v>2049786632.1100001</v>
      </c>
      <c r="G18" s="61">
        <f t="shared" si="1"/>
        <v>2107724910.5</v>
      </c>
    </row>
    <row r="19" spans="1:7" x14ac:dyDescent="0.25">
      <c r="A19" s="53" t="s">
        <v>454</v>
      </c>
      <c r="B19" s="60">
        <v>1109839134.5343962</v>
      </c>
      <c r="C19" s="60">
        <v>1855729649.0212002</v>
      </c>
      <c r="D19" s="60">
        <v>1334164885.49</v>
      </c>
      <c r="E19" s="60">
        <v>1413017104.6899986</v>
      </c>
      <c r="F19" s="60">
        <v>1777626279.0599999</v>
      </c>
      <c r="G19" s="60">
        <v>1771811325.25</v>
      </c>
    </row>
    <row r="20" spans="1:7" x14ac:dyDescent="0.25">
      <c r="A20" s="53" t="s">
        <v>455</v>
      </c>
      <c r="B20" s="60">
        <v>61412298.987549976</v>
      </c>
      <c r="C20" s="60">
        <v>69853166.788599998</v>
      </c>
      <c r="D20" s="60">
        <v>51905322.640000001</v>
      </c>
      <c r="E20" s="60">
        <v>51170361.079999954</v>
      </c>
      <c r="F20" s="60">
        <v>63427987.380000003</v>
      </c>
      <c r="G20" s="60">
        <v>74090861.680000022</v>
      </c>
    </row>
    <row r="21" spans="1:7" x14ac:dyDescent="0.25">
      <c r="A21" s="53" t="s">
        <v>456</v>
      </c>
      <c r="B21" s="60">
        <v>246318170.72400865</v>
      </c>
      <c r="C21" s="60">
        <v>243460785.87729996</v>
      </c>
      <c r="D21" s="60">
        <v>111459996.03999998</v>
      </c>
      <c r="E21" s="60">
        <v>69315904.649999931</v>
      </c>
      <c r="F21" s="60">
        <v>80685847.199999988</v>
      </c>
      <c r="G21" s="60">
        <v>126609520.73999992</v>
      </c>
    </row>
    <row r="22" spans="1:7" x14ac:dyDescent="0.25">
      <c r="A22" s="53" t="s">
        <v>457</v>
      </c>
      <c r="B22" s="60">
        <v>185466753.13293999</v>
      </c>
      <c r="C22" s="60">
        <v>302313020.51999998</v>
      </c>
      <c r="D22" s="60">
        <v>260444835.19000003</v>
      </c>
      <c r="E22" s="60">
        <v>343452777.21000004</v>
      </c>
      <c r="F22" s="60">
        <v>9900722.6199999992</v>
      </c>
      <c r="G22" s="60">
        <v>30249356.380000003</v>
      </c>
    </row>
    <row r="23" spans="1:7" x14ac:dyDescent="0.25">
      <c r="A23" s="53" t="s">
        <v>458</v>
      </c>
      <c r="B23" s="60">
        <v>260016724.88924003</v>
      </c>
      <c r="C23" s="60">
        <v>52041887.445199996</v>
      </c>
      <c r="D23" s="60">
        <v>61573395.25</v>
      </c>
      <c r="E23" s="60">
        <v>35479575.700000003</v>
      </c>
      <c r="F23" s="60">
        <v>28907668.909999974</v>
      </c>
      <c r="G23" s="60">
        <v>68785115.370000005</v>
      </c>
    </row>
    <row r="24" spans="1:7" x14ac:dyDescent="0.25">
      <c r="A24" s="53" t="s">
        <v>459</v>
      </c>
      <c r="B24" s="60">
        <v>152754320.72000003</v>
      </c>
      <c r="C24" s="60">
        <v>35934743.289999999</v>
      </c>
      <c r="D24" s="60">
        <v>94825194.339999989</v>
      </c>
      <c r="E24" s="60">
        <v>111039811.39999999</v>
      </c>
      <c r="F24" s="60">
        <v>89238126.939999998</v>
      </c>
      <c r="G24" s="60">
        <v>36178731.080000006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3044716255.1353002</v>
      </c>
      <c r="C29" s="60">
        <f t="shared" ref="C29:G29" si="2">C7+C18</f>
        <v>3221366955.4410996</v>
      </c>
      <c r="D29" s="60">
        <f t="shared" si="2"/>
        <v>3222395611.0799999</v>
      </c>
      <c r="E29" s="60">
        <f t="shared" si="2"/>
        <v>3530595141.079998</v>
      </c>
      <c r="F29" s="60">
        <f t="shared" si="2"/>
        <v>3598508266.289999</v>
      </c>
      <c r="G29" s="60">
        <f t="shared" si="2"/>
        <v>4031643979.7699995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7" t="s">
        <v>3292</v>
      </c>
      <c r="B32" s="187"/>
      <c r="C32" s="187"/>
      <c r="D32" s="187"/>
      <c r="E32" s="187"/>
      <c r="F32" s="187"/>
      <c r="G32" s="187"/>
    </row>
    <row r="33" spans="1:7" x14ac:dyDescent="0.25">
      <c r="A33" s="187" t="s">
        <v>3293</v>
      </c>
      <c r="B33" s="187"/>
      <c r="C33" s="187"/>
      <c r="D33" s="187"/>
      <c r="E33" s="187"/>
      <c r="F33" s="187"/>
      <c r="G33" s="18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1028908852.1471654</v>
      </c>
      <c r="Q2" s="18">
        <f>'Formato 7 d)'!C7</f>
        <v>662033702.4987998</v>
      </c>
      <c r="R2" s="18">
        <f>'Formato 7 d)'!D7</f>
        <v>1308021982.1300001</v>
      </c>
      <c r="S2" s="18">
        <f>'Formato 7 d)'!E7</f>
        <v>1507119606.3499997</v>
      </c>
      <c r="T2" s="18">
        <f>'Formato 7 d)'!F7</f>
        <v>1548721634.1799989</v>
      </c>
      <c r="U2" s="18">
        <f>'Formato 7 d)'!G7</f>
        <v>1923919069.2699997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698717640.04030406</v>
      </c>
      <c r="Q3" s="18">
        <f>'Formato 7 d)'!C8</f>
        <v>131374008.33879973</v>
      </c>
      <c r="R3" s="18">
        <f>'Formato 7 d)'!D8</f>
        <v>727345184.53000009</v>
      </c>
      <c r="S3" s="18">
        <f>'Formato 7 d)'!E8</f>
        <v>822822833.81999946</v>
      </c>
      <c r="T3" s="18">
        <f>'Formato 7 d)'!F8</f>
        <v>949506847.02999926</v>
      </c>
      <c r="U3" s="18">
        <f>'Formato 7 d)'!G8</f>
        <v>1102815920.8199999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37656024.182449989</v>
      </c>
      <c r="Q4" s="18">
        <f>'Formato 7 d)'!C9</f>
        <v>23542956.199999999</v>
      </c>
      <c r="R4" s="18">
        <f>'Formato 7 d)'!D9</f>
        <v>53744761.110000007</v>
      </c>
      <c r="S4" s="18">
        <f>'Formato 7 d)'!E9</f>
        <v>70775291.430000097</v>
      </c>
      <c r="T4" s="18">
        <f>'Formato 7 d)'!F9</f>
        <v>63764415.470000073</v>
      </c>
      <c r="U4" s="18">
        <f>'Formato 7 d)'!G9</f>
        <v>104400382.78999999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121371314.8465915</v>
      </c>
      <c r="Q5" s="18">
        <f>'Formato 7 d)'!C10</f>
        <v>94942261.379999995</v>
      </c>
      <c r="R5" s="18">
        <f>'Formato 7 d)'!D10</f>
        <v>215536069.94000003</v>
      </c>
      <c r="S5" s="18">
        <f>'Formato 7 d)'!E10</f>
        <v>281159304.73000008</v>
      </c>
      <c r="T5" s="18">
        <f>'Formato 7 d)'!F10</f>
        <v>291062466.48999971</v>
      </c>
      <c r="U5" s="18">
        <f>'Formato 7 d)'!G10</f>
        <v>318699044.66999984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161340381.27706003</v>
      </c>
      <c r="Q6" s="18">
        <f>'Formato 7 d)'!C11</f>
        <v>59393110.289999999</v>
      </c>
      <c r="R6" s="18">
        <f>'Formato 7 d)'!D11</f>
        <v>149220342.77999997</v>
      </c>
      <c r="S6" s="18">
        <f>'Formato 7 d)'!E11</f>
        <v>128846208.31000006</v>
      </c>
      <c r="T6" s="18">
        <f>'Formato 7 d)'!F11</f>
        <v>96157858.830000028</v>
      </c>
      <c r="U6" s="18">
        <f>'Formato 7 d)'!G11</f>
        <v>114877703.69000006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8291117.3907600008</v>
      </c>
      <c r="Q7" s="18">
        <f>'Formato 7 d)'!C12</f>
        <v>151156505.88999999</v>
      </c>
      <c r="R7" s="18">
        <f>'Formato 7 d)'!D12</f>
        <v>50107821.29999999</v>
      </c>
      <c r="S7" s="18">
        <f>'Formato 7 d)'!E12</f>
        <v>124609037.61000006</v>
      </c>
      <c r="T7" s="18">
        <f>'Formato 7 d)'!F12</f>
        <v>81738164.699999914</v>
      </c>
      <c r="U7" s="18">
        <f>'Formato 7 d)'!G12</f>
        <v>192789365.25000009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1532374.4100000001</v>
      </c>
      <c r="Q8" s="18">
        <f>'Formato 7 d)'!C13</f>
        <v>201393184.02000007</v>
      </c>
      <c r="R8" s="18">
        <f>'Formato 7 d)'!D13</f>
        <v>112067802.47000001</v>
      </c>
      <c r="S8" s="18">
        <f>'Formato 7 d)'!E13</f>
        <v>78906930.450000003</v>
      </c>
      <c r="T8" s="18">
        <f>'Formato 7 d)'!F13</f>
        <v>59991881.659999989</v>
      </c>
      <c r="U8" s="18">
        <f>'Formato 7 d)'!G13</f>
        <v>90336652.049999997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231676.38</v>
      </c>
      <c r="R9" s="18">
        <f>'Formato 7 d)'!D14</f>
        <v>0</v>
      </c>
      <c r="S9" s="18">
        <f>'Formato 7 d)'!E14</f>
        <v>0</v>
      </c>
      <c r="T9" s="18">
        <f>'Formato 7 d)'!F14</f>
        <v>6500000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2015807402.9881349</v>
      </c>
      <c r="Q12" s="18">
        <f>'Formato 7 d)'!C18</f>
        <v>2559333252.9422998</v>
      </c>
      <c r="R12" s="18">
        <f>'Formato 7 d)'!D18</f>
        <v>1914373628.95</v>
      </c>
      <c r="S12" s="18">
        <f>'Formato 7 d)'!E18</f>
        <v>2023475534.7299986</v>
      </c>
      <c r="T12" s="18">
        <f>'Formato 7 d)'!F18</f>
        <v>2049786632.1100001</v>
      </c>
      <c r="U12" s="18">
        <f>'Formato 7 d)'!G18</f>
        <v>2107724910.5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1109839134.5343962</v>
      </c>
      <c r="Q13" s="18">
        <f>'Formato 7 d)'!C19</f>
        <v>1855729649.0212002</v>
      </c>
      <c r="R13" s="18">
        <f>'Formato 7 d)'!D19</f>
        <v>1334164885.49</v>
      </c>
      <c r="S13" s="18">
        <f>'Formato 7 d)'!E19</f>
        <v>1413017104.6899986</v>
      </c>
      <c r="T13" s="18">
        <f>'Formato 7 d)'!F19</f>
        <v>1777626279.0599999</v>
      </c>
      <c r="U13" s="18">
        <f>'Formato 7 d)'!G19</f>
        <v>1771811325.25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61412298.987549976</v>
      </c>
      <c r="Q14" s="18">
        <f>'Formato 7 d)'!C20</f>
        <v>69853166.788599998</v>
      </c>
      <c r="R14" s="18">
        <f>'Formato 7 d)'!D20</f>
        <v>51905322.640000001</v>
      </c>
      <c r="S14" s="18">
        <f>'Formato 7 d)'!E20</f>
        <v>51170361.079999954</v>
      </c>
      <c r="T14" s="18">
        <f>'Formato 7 d)'!F20</f>
        <v>63427987.380000003</v>
      </c>
      <c r="U14" s="18">
        <f>'Formato 7 d)'!G20</f>
        <v>74090861.680000022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246318170.72400865</v>
      </c>
      <c r="Q15" s="18">
        <f>'Formato 7 d)'!C21</f>
        <v>243460785.87729996</v>
      </c>
      <c r="R15" s="18">
        <f>'Formato 7 d)'!D21</f>
        <v>111459996.03999998</v>
      </c>
      <c r="S15" s="18">
        <f>'Formato 7 d)'!E21</f>
        <v>69315904.649999931</v>
      </c>
      <c r="T15" s="18">
        <f>'Formato 7 d)'!F21</f>
        <v>80685847.199999988</v>
      </c>
      <c r="U15" s="18">
        <f>'Formato 7 d)'!G21</f>
        <v>126609520.73999992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185466753.13293999</v>
      </c>
      <c r="Q16" s="18">
        <f>'Formato 7 d)'!C22</f>
        <v>302313020.51999998</v>
      </c>
      <c r="R16" s="18">
        <f>'Formato 7 d)'!D22</f>
        <v>260444835.19000003</v>
      </c>
      <c r="S16" s="18">
        <f>'Formato 7 d)'!E22</f>
        <v>343452777.21000004</v>
      </c>
      <c r="T16" s="18">
        <f>'Formato 7 d)'!F22</f>
        <v>9900722.6199999992</v>
      </c>
      <c r="U16" s="18">
        <f>'Formato 7 d)'!G22</f>
        <v>30249356.380000003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260016724.88924003</v>
      </c>
      <c r="Q17" s="18">
        <f>'Formato 7 d)'!C23</f>
        <v>52041887.445199996</v>
      </c>
      <c r="R17" s="18">
        <f>'Formato 7 d)'!D23</f>
        <v>61573395.25</v>
      </c>
      <c r="S17" s="18">
        <f>'Formato 7 d)'!E23</f>
        <v>35479575.700000003</v>
      </c>
      <c r="T17" s="18">
        <f>'Formato 7 d)'!F23</f>
        <v>28907668.909999974</v>
      </c>
      <c r="U17" s="18">
        <f>'Formato 7 d)'!G23</f>
        <v>68785115.370000005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152754320.72000003</v>
      </c>
      <c r="Q18" s="18">
        <f>'Formato 7 d)'!C24</f>
        <v>35934743.289999999</v>
      </c>
      <c r="R18" s="18">
        <f>'Formato 7 d)'!D24</f>
        <v>94825194.339999989</v>
      </c>
      <c r="S18" s="18">
        <f>'Formato 7 d)'!E24</f>
        <v>111039811.39999999</v>
      </c>
      <c r="T18" s="18">
        <f>'Formato 7 d)'!F24</f>
        <v>89238126.939999998</v>
      </c>
      <c r="U18" s="18">
        <f>'Formato 7 d)'!G24</f>
        <v>36178731.080000006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3044716255.1353002</v>
      </c>
      <c r="Q22" s="18">
        <f>'Formato 7 d)'!C29</f>
        <v>3221366955.4410996</v>
      </c>
      <c r="R22" s="18">
        <f>'Formato 7 d)'!D29</f>
        <v>3222395611.0799999</v>
      </c>
      <c r="S22" s="18">
        <f>'Formato 7 d)'!E29</f>
        <v>3530595141.079998</v>
      </c>
      <c r="T22" s="18">
        <f>'Formato 7 d)'!F29</f>
        <v>3598508266.289999</v>
      </c>
      <c r="U22" s="18">
        <f>'Formato 7 d)'!G29</f>
        <v>4031643979.7699995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7" t="s">
        <v>495</v>
      </c>
      <c r="B1" s="167"/>
      <c r="C1" s="167"/>
      <c r="D1" s="167"/>
      <c r="E1" s="167"/>
      <c r="F1" s="167"/>
      <c r="G1" s="111"/>
    </row>
    <row r="2" spans="1:7" ht="14.25" x14ac:dyDescent="0.45">
      <c r="A2" s="155" t="str">
        <f>ENTE_PUBLICO</f>
        <v>Universidad de Guanajuato, Gobierno del Estado de Guanajuato</v>
      </c>
      <c r="B2" s="156"/>
      <c r="C2" s="156"/>
      <c r="D2" s="156"/>
      <c r="E2" s="156"/>
      <c r="F2" s="157"/>
    </row>
    <row r="3" spans="1:7" ht="14.25" x14ac:dyDescent="0.45">
      <c r="A3" s="164" t="s">
        <v>496</v>
      </c>
      <c r="B3" s="165"/>
      <c r="C3" s="165"/>
      <c r="D3" s="165"/>
      <c r="E3" s="165"/>
      <c r="F3" s="166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A46" zoomScale="90" zoomScaleNormal="90" workbookViewId="0">
      <selection activeCell="E59" sqref="E5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7" t="s">
        <v>545</v>
      </c>
      <c r="B1" s="167"/>
      <c r="C1" s="167"/>
      <c r="D1" s="167"/>
      <c r="E1" s="167"/>
      <c r="F1" s="167"/>
    </row>
    <row r="2" spans="1:6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7"/>
    </row>
    <row r="3" spans="1:6" x14ac:dyDescent="0.25">
      <c r="A3" s="158" t="s">
        <v>117</v>
      </c>
      <c r="B3" s="159"/>
      <c r="C3" s="159"/>
      <c r="D3" s="159"/>
      <c r="E3" s="159"/>
      <c r="F3" s="160"/>
    </row>
    <row r="4" spans="1:6" ht="14.25" x14ac:dyDescent="0.45">
      <c r="A4" s="161" t="str">
        <f>PERIODO_INFORME</f>
        <v>Al 31 de diciembre de 2019 y al 30 de septiembre de 2020 (b)</v>
      </c>
      <c r="B4" s="162"/>
      <c r="C4" s="162"/>
      <c r="D4" s="162"/>
      <c r="E4" s="162"/>
      <c r="F4" s="163"/>
    </row>
    <row r="5" spans="1:6" ht="14.25" x14ac:dyDescent="0.45">
      <c r="A5" s="164" t="s">
        <v>118</v>
      </c>
      <c r="B5" s="165"/>
      <c r="C5" s="165"/>
      <c r="D5" s="165"/>
      <c r="E5" s="165"/>
      <c r="F5" s="166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768418804</v>
      </c>
      <c r="C9" s="60">
        <f>SUM(C10:C16)</f>
        <v>422752885</v>
      </c>
      <c r="D9" s="100" t="s">
        <v>54</v>
      </c>
      <c r="E9" s="60">
        <f>SUM(E10:E18)</f>
        <v>68891154</v>
      </c>
      <c r="F9" s="60">
        <f>SUM(F10:F18)</f>
        <v>131284641</v>
      </c>
    </row>
    <row r="10" spans="1:6" x14ac:dyDescent="0.25">
      <c r="A10" s="96" t="s">
        <v>4</v>
      </c>
      <c r="B10" s="149">
        <v>1336918</v>
      </c>
      <c r="C10" s="149">
        <v>86917</v>
      </c>
      <c r="D10" s="101" t="s">
        <v>55</v>
      </c>
      <c r="E10" s="60">
        <v>2423439</v>
      </c>
      <c r="F10" s="60">
        <v>14975615</v>
      </c>
    </row>
    <row r="11" spans="1:6" x14ac:dyDescent="0.25">
      <c r="A11" s="96" t="s">
        <v>5</v>
      </c>
      <c r="B11" s="149">
        <v>666703343</v>
      </c>
      <c r="C11" s="149">
        <v>292716947</v>
      </c>
      <c r="D11" s="101" t="s">
        <v>56</v>
      </c>
      <c r="E11" s="60">
        <v>17784438</v>
      </c>
      <c r="F11" s="60">
        <v>44643040</v>
      </c>
    </row>
    <row r="12" spans="1:6" x14ac:dyDescent="0.25">
      <c r="A12" s="96" t="s">
        <v>6</v>
      </c>
      <c r="B12" s="149">
        <v>2071626</v>
      </c>
      <c r="C12" s="149">
        <v>2924215</v>
      </c>
      <c r="D12" s="101" t="s">
        <v>57</v>
      </c>
      <c r="E12" s="60">
        <v>1274440</v>
      </c>
      <c r="F12" s="60">
        <v>7713015</v>
      </c>
    </row>
    <row r="13" spans="1:6" x14ac:dyDescent="0.25">
      <c r="A13" s="96" t="s">
        <v>7</v>
      </c>
      <c r="B13" s="149">
        <v>50167230</v>
      </c>
      <c r="C13" s="149">
        <v>80375789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149">
        <v>48139687</v>
      </c>
      <c r="C14" s="149">
        <v>46649017</v>
      </c>
      <c r="D14" s="101" t="s">
        <v>59</v>
      </c>
      <c r="E14" s="60">
        <v>0</v>
      </c>
      <c r="F14" s="60">
        <v>-332788</v>
      </c>
    </row>
    <row r="15" spans="1:6" x14ac:dyDescent="0.25">
      <c r="A15" s="96" t="s">
        <v>9</v>
      </c>
      <c r="B15" s="149">
        <v>0</v>
      </c>
      <c r="C15" s="149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149">
        <v>0</v>
      </c>
      <c r="C16" s="149">
        <v>0</v>
      </c>
      <c r="D16" s="101" t="s">
        <v>61</v>
      </c>
      <c r="E16" s="60">
        <v>30141101</v>
      </c>
      <c r="F16" s="60">
        <v>53100720</v>
      </c>
    </row>
    <row r="17" spans="1:6" x14ac:dyDescent="0.25">
      <c r="A17" s="95" t="s">
        <v>11</v>
      </c>
      <c r="B17" s="60">
        <f>SUM(B18:B24)</f>
        <v>108150962</v>
      </c>
      <c r="C17" s="60">
        <f>SUM(C18:C24)</f>
        <v>102029932</v>
      </c>
      <c r="D17" s="101" t="s">
        <v>62</v>
      </c>
      <c r="E17" s="60">
        <v>8276882</v>
      </c>
      <c r="F17" s="60">
        <v>10263309</v>
      </c>
    </row>
    <row r="18" spans="1:6" x14ac:dyDescent="0.25">
      <c r="A18" s="97" t="s">
        <v>12</v>
      </c>
      <c r="B18" s="149">
        <v>0</v>
      </c>
      <c r="C18" s="149">
        <v>0</v>
      </c>
      <c r="D18" s="101" t="s">
        <v>63</v>
      </c>
      <c r="E18" s="60">
        <v>8990854</v>
      </c>
      <c r="F18" s="60">
        <v>921730</v>
      </c>
    </row>
    <row r="19" spans="1:6" x14ac:dyDescent="0.25">
      <c r="A19" s="97" t="s">
        <v>13</v>
      </c>
      <c r="B19" s="149">
        <v>93895648</v>
      </c>
      <c r="C19" s="149">
        <v>90498850</v>
      </c>
      <c r="D19" s="100" t="s">
        <v>64</v>
      </c>
      <c r="E19" s="60">
        <f>SUM(E20:E22)</f>
        <v>58400</v>
      </c>
      <c r="F19" s="60">
        <f>SUM(F20:F22)</f>
        <v>55000</v>
      </c>
    </row>
    <row r="20" spans="1:6" x14ac:dyDescent="0.25">
      <c r="A20" s="97" t="s">
        <v>14</v>
      </c>
      <c r="B20" s="149">
        <v>2708993</v>
      </c>
      <c r="C20" s="149">
        <v>1670307</v>
      </c>
      <c r="D20" s="101" t="s">
        <v>65</v>
      </c>
      <c r="E20" s="60">
        <v>58400</v>
      </c>
      <c r="F20" s="60">
        <v>55000</v>
      </c>
    </row>
    <row r="21" spans="1:6" x14ac:dyDescent="0.25">
      <c r="A21" s="97" t="s">
        <v>15</v>
      </c>
      <c r="B21" s="149">
        <v>1421</v>
      </c>
      <c r="C21" s="149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149">
        <v>0</v>
      </c>
      <c r="C22" s="149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149">
        <v>11546815</v>
      </c>
      <c r="C23" s="149">
        <v>9862690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-1915</v>
      </c>
      <c r="C24" s="149">
        <v>-1915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49922626</v>
      </c>
      <c r="C25" s="60">
        <f>SUM(C26:C30)</f>
        <v>42874304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149">
        <v>3157578</v>
      </c>
      <c r="C26" s="149">
        <v>1995824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49">
        <v>0</v>
      </c>
      <c r="C27" s="149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9">
        <v>0</v>
      </c>
      <c r="C28" s="149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149">
        <v>46765048</v>
      </c>
      <c r="C29" s="149">
        <v>40878480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149">
        <v>0</v>
      </c>
      <c r="C30" s="149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1100601</v>
      </c>
      <c r="F31" s="60">
        <f>SUM(F32:F37)</f>
        <v>1100601</v>
      </c>
    </row>
    <row r="32" spans="1:6" x14ac:dyDescent="0.25">
      <c r="A32" s="97" t="s">
        <v>26</v>
      </c>
      <c r="B32" s="149">
        <v>0</v>
      </c>
      <c r="C32" s="149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149">
        <v>0</v>
      </c>
      <c r="C33" s="149">
        <v>0</v>
      </c>
      <c r="D33" s="101" t="s">
        <v>78</v>
      </c>
      <c r="E33" s="60">
        <v>409361</v>
      </c>
      <c r="F33" s="60">
        <v>409361</v>
      </c>
    </row>
    <row r="34" spans="1:6" x14ac:dyDescent="0.25">
      <c r="A34" s="97" t="s">
        <v>28</v>
      </c>
      <c r="B34" s="149">
        <v>0</v>
      </c>
      <c r="C34" s="149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149">
        <v>0</v>
      </c>
      <c r="C35" s="149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149">
        <v>0</v>
      </c>
      <c r="C36" s="149">
        <v>0</v>
      </c>
      <c r="D36" s="101" t="s">
        <v>81</v>
      </c>
      <c r="E36" s="60">
        <v>691240</v>
      </c>
      <c r="F36" s="60">
        <v>691240</v>
      </c>
    </row>
    <row r="37" spans="1:6" x14ac:dyDescent="0.25">
      <c r="A37" s="95" t="s">
        <v>31</v>
      </c>
      <c r="B37" s="149">
        <v>4527392</v>
      </c>
      <c r="C37" s="149">
        <v>1669622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-10750989</v>
      </c>
      <c r="C38" s="60">
        <f>SUM(C39:C40)</f>
        <v>-10750989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-10750989</v>
      </c>
      <c r="C39" s="60">
        <v>-10750989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957206</v>
      </c>
      <c r="C41" s="60">
        <f>SUM(C42:C45)</f>
        <v>948198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957206</v>
      </c>
      <c r="C42" s="60">
        <v>948198</v>
      </c>
      <c r="D42" s="100" t="s">
        <v>87</v>
      </c>
      <c r="E42" s="60">
        <f>SUM(E43:E45)</f>
        <v>33125939</v>
      </c>
      <c r="F42" s="60">
        <f>SUM(F43:F45)</f>
        <v>15723560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-81403</v>
      </c>
      <c r="F43" s="60">
        <v>4700123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33207342</v>
      </c>
      <c r="F45" s="60">
        <v>11023437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0">
        <f>B9+B17+B25+B31+B38+B41+B37</f>
        <v>921226001</v>
      </c>
      <c r="C47" s="150">
        <f>C9+C17+C25+C31+C38+C41+C37</f>
        <v>559523952</v>
      </c>
      <c r="D47" s="99" t="s">
        <v>91</v>
      </c>
      <c r="E47" s="61">
        <f>E9+E19+E23+E26+E27+E31+E38+E42</f>
        <v>103176094</v>
      </c>
      <c r="F47" s="61">
        <f>F9+F19+F23+F26+F27+F31+F38+F42</f>
        <v>148163802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659524260</v>
      </c>
      <c r="C50" s="60">
        <v>626460843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3627871</v>
      </c>
      <c r="C51" s="60">
        <v>3246378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6033334250</v>
      </c>
      <c r="C52" s="60">
        <v>6002577763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2029882895</v>
      </c>
      <c r="C53" s="60">
        <v>1999583690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92667355</v>
      </c>
      <c r="C54" s="60">
        <v>92248987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-2380661980</v>
      </c>
      <c r="C55" s="60">
        <v>-2219845488</v>
      </c>
      <c r="D55" s="37" t="s">
        <v>98</v>
      </c>
      <c r="E55" s="60">
        <v>574168020</v>
      </c>
      <c r="F55" s="60">
        <v>526020018</v>
      </c>
    </row>
    <row r="56" spans="1:6" x14ac:dyDescent="0.25">
      <c r="A56" s="95" t="s">
        <v>47</v>
      </c>
      <c r="B56" s="60">
        <v>18730271</v>
      </c>
      <c r="C56" s="60">
        <v>18730271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574168020</v>
      </c>
      <c r="F57" s="61">
        <f>SUM(F50:F55)</f>
        <v>526020018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677344114</v>
      </c>
      <c r="F59" s="61">
        <f>F47+F57</f>
        <v>674183820</v>
      </c>
    </row>
    <row r="60" spans="1:6" x14ac:dyDescent="0.25">
      <c r="A60" s="55" t="s">
        <v>50</v>
      </c>
      <c r="B60" s="61">
        <f>SUM(B50:B58)</f>
        <v>6457104922</v>
      </c>
      <c r="C60" s="61">
        <f>SUM(C50:C58)</f>
        <v>6523002444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7378330923</v>
      </c>
      <c r="C62" s="61">
        <f>SUM(C47+C60)</f>
        <v>7082526396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3557598828</v>
      </c>
      <c r="F63" s="77">
        <f>SUM(F64:F66)</f>
        <v>3557598828</v>
      </c>
    </row>
    <row r="64" spans="1:6" x14ac:dyDescent="0.25">
      <c r="A64" s="54"/>
      <c r="B64" s="54"/>
      <c r="C64" s="54"/>
      <c r="D64" s="103" t="s">
        <v>103</v>
      </c>
      <c r="E64" s="77">
        <v>3543641522</v>
      </c>
      <c r="F64" s="77">
        <v>3543641522</v>
      </c>
    </row>
    <row r="65" spans="1:6" x14ac:dyDescent="0.25">
      <c r="A65" s="54"/>
      <c r="B65" s="54"/>
      <c r="C65" s="54"/>
      <c r="D65" s="41" t="s">
        <v>104</v>
      </c>
      <c r="E65" s="77">
        <v>13957306</v>
      </c>
      <c r="F65" s="77">
        <v>13957306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3131517397</v>
      </c>
      <c r="F68" s="77">
        <f>SUM(F69:F73)</f>
        <v>2838873164</v>
      </c>
    </row>
    <row r="69" spans="1:6" x14ac:dyDescent="0.25">
      <c r="A69" s="12"/>
      <c r="B69" s="54"/>
      <c r="C69" s="54"/>
      <c r="D69" s="103" t="s">
        <v>107</v>
      </c>
      <c r="E69" s="77">
        <v>301487671</v>
      </c>
      <c r="F69" s="77">
        <v>-143746509</v>
      </c>
    </row>
    <row r="70" spans="1:6" x14ac:dyDescent="0.25">
      <c r="A70" s="12"/>
      <c r="B70" s="54"/>
      <c r="C70" s="54"/>
      <c r="D70" s="103" t="s">
        <v>108</v>
      </c>
      <c r="E70" s="77">
        <v>-212611030</v>
      </c>
      <c r="F70" s="77">
        <v>-60021083</v>
      </c>
    </row>
    <row r="71" spans="1:6" x14ac:dyDescent="0.25">
      <c r="A71" s="12"/>
      <c r="B71" s="54"/>
      <c r="C71" s="54"/>
      <c r="D71" s="103" t="s">
        <v>109</v>
      </c>
      <c r="E71" s="77">
        <v>3042640756</v>
      </c>
      <c r="F71" s="77">
        <v>3042640756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11870584</v>
      </c>
      <c r="F75" s="77">
        <f>F76+F77</f>
        <v>11870584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11870584</v>
      </c>
      <c r="F77" s="60">
        <v>11870584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6700986809</v>
      </c>
      <c r="F79" s="61">
        <f>F63+F68+F75</f>
        <v>6408342576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7378330923</v>
      </c>
      <c r="F81" s="61">
        <f>F59+F79</f>
        <v>7082526396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768418804</v>
      </c>
      <c r="Q4" s="18">
        <f>'Formato 1'!C9</f>
        <v>422752885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1336918</v>
      </c>
      <c r="Q5" s="18">
        <f>'Formato 1'!C10</f>
        <v>86917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666703343</v>
      </c>
      <c r="Q6" s="18">
        <f>'Formato 1'!C11</f>
        <v>292716947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2071626</v>
      </c>
      <c r="Q7" s="18">
        <f>'Formato 1'!C12</f>
        <v>2924215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50167230</v>
      </c>
      <c r="Q8" s="18">
        <f>'Formato 1'!C13</f>
        <v>80375789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48139687</v>
      </c>
      <c r="Q9" s="18">
        <f>'Formato 1'!C14</f>
        <v>46649017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108150962</v>
      </c>
      <c r="Q12" s="18">
        <f>'Formato 1'!C17</f>
        <v>102029932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93895648</v>
      </c>
      <c r="Q14" s="18">
        <f>'Formato 1'!C19</f>
        <v>90498850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2708993</v>
      </c>
      <c r="Q15" s="18">
        <f>'Formato 1'!C20</f>
        <v>1670307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1421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11546815</v>
      </c>
      <c r="Q18" s="18">
        <f>'Formato 1'!C23</f>
        <v>9862690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-1915</v>
      </c>
      <c r="Q19" s="18">
        <f>'Formato 1'!C24</f>
        <v>-1915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49922626</v>
      </c>
      <c r="Q20" s="18">
        <f>'Formato 1'!C25</f>
        <v>42874304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3157578</v>
      </c>
      <c r="Q21" s="18">
        <f>'Formato 1'!C26</f>
        <v>1995824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46765048</v>
      </c>
      <c r="Q24" s="18">
        <f>'Formato 1'!C29</f>
        <v>40878480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4527392</v>
      </c>
      <c r="Q32" s="18">
        <f>'Formato 1'!C37</f>
        <v>1669622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4527392</v>
      </c>
      <c r="Q33" s="18">
        <f>'Formato 1'!C37</f>
        <v>1669622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-10750989</v>
      </c>
      <c r="Q34" s="18">
        <f>'Formato 1'!C38</f>
        <v>-10750989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-10750989</v>
      </c>
      <c r="Q35" s="18">
        <f>'Formato 1'!C39</f>
        <v>-10750989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957206</v>
      </c>
      <c r="Q37" s="18">
        <f>'Formato 1'!C41</f>
        <v>948198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957206</v>
      </c>
      <c r="Q38" s="18">
        <f>'Formato 1'!C42</f>
        <v>948198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921226001</v>
      </c>
      <c r="Q42" s="18">
        <f>'Formato 1'!C47</f>
        <v>559523952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659524260</v>
      </c>
      <c r="Q44">
        <f>'Formato 1'!C50</f>
        <v>626460843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3627871</v>
      </c>
      <c r="Q45">
        <f>'Formato 1'!C51</f>
        <v>3246378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6033334250</v>
      </c>
      <c r="Q46">
        <f>'Formato 1'!C52</f>
        <v>6002577763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2029882895</v>
      </c>
      <c r="Q47">
        <f>'Formato 1'!C53</f>
        <v>1999583690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92667355</v>
      </c>
      <c r="Q48">
        <f>'Formato 1'!C54</f>
        <v>92248987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-2380661980</v>
      </c>
      <c r="Q49">
        <f>'Formato 1'!C55</f>
        <v>-2219845488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18730271</v>
      </c>
      <c r="Q50">
        <f>'Formato 1'!C56</f>
        <v>18730271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6457104922</v>
      </c>
      <c r="Q53">
        <f>'Formato 1'!C60</f>
        <v>6523002444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7378330923</v>
      </c>
      <c r="Q54">
        <f>'Formato 1'!C62</f>
        <v>7082526396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68891154</v>
      </c>
      <c r="Q57">
        <f>'Formato 1'!F9</f>
        <v>131284641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2423439</v>
      </c>
      <c r="Q58">
        <f>'Formato 1'!F10</f>
        <v>14975615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17784438</v>
      </c>
      <c r="Q59">
        <f>'Formato 1'!F11</f>
        <v>44643040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1274440</v>
      </c>
      <c r="Q60">
        <f>'Formato 1'!F12</f>
        <v>7713015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-332788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30141101</v>
      </c>
      <c r="Q64">
        <f>'Formato 1'!F16</f>
        <v>53100720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8276882</v>
      </c>
      <c r="Q65">
        <f>'Formato 1'!F17</f>
        <v>10263309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8990854</v>
      </c>
      <c r="Q66">
        <f>'Formato 1'!F18</f>
        <v>921730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58400</v>
      </c>
      <c r="Q67">
        <f>'Formato 1'!F19</f>
        <v>55000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58400</v>
      </c>
      <c r="Q68">
        <f>'Formato 1'!F20</f>
        <v>55000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1100601</v>
      </c>
      <c r="Q80">
        <f>'Formato 1'!F31</f>
        <v>1100601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409361</v>
      </c>
      <c r="Q82">
        <f>'Formato 1'!F33</f>
        <v>409361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691240</v>
      </c>
      <c r="Q85">
        <f>'Formato 1'!F36</f>
        <v>691240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33125939</v>
      </c>
      <c r="Q91">
        <f>'Formato 1'!F42</f>
        <v>15723560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-81403</v>
      </c>
      <c r="Q92">
        <f>'Formato 1'!F43</f>
        <v>4700123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33207342</v>
      </c>
      <c r="Q94">
        <f>'Formato 1'!F45</f>
        <v>11023437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103176094</v>
      </c>
      <c r="Q95">
        <f>'Formato 1'!F47</f>
        <v>148163802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574168020</v>
      </c>
      <c r="Q102">
        <f>'Formato 1'!F55</f>
        <v>526020018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574168020</v>
      </c>
      <c r="Q103">
        <f>'Formato 1'!F57</f>
        <v>526020018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677344114</v>
      </c>
      <c r="Q104">
        <f>'Formato 1'!F59</f>
        <v>674183820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3557598828</v>
      </c>
      <c r="Q106">
        <f>'Formato 1'!F63</f>
        <v>3557598828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3543641522</v>
      </c>
      <c r="Q107">
        <f>'Formato 1'!F64</f>
        <v>3543641522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13957306</v>
      </c>
      <c r="Q108">
        <f>'Formato 1'!F65</f>
        <v>13957306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3131517397</v>
      </c>
      <c r="Q110">
        <f>'Formato 1'!F68</f>
        <v>2838873164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301487671</v>
      </c>
      <c r="Q111">
        <f>'Formato 1'!F69</f>
        <v>-143746509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-212611030</v>
      </c>
      <c r="Q112">
        <f>'Formato 1'!F70</f>
        <v>-60021083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3042640756</v>
      </c>
      <c r="Q113">
        <f>'Formato 1'!F71</f>
        <v>3042640756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11870584</v>
      </c>
      <c r="Q116">
        <f>'Formato 1'!F75</f>
        <v>11870584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11870584</v>
      </c>
      <c r="Q118">
        <f>'Formato 1'!F77</f>
        <v>11870584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6700986809</v>
      </c>
      <c r="Q119">
        <f>'Formato 1'!F79</f>
        <v>6408342576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7378330923</v>
      </c>
      <c r="Q120">
        <f>'Formato 1'!F81</f>
        <v>7082526396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F20" sqref="F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9" t="s">
        <v>544</v>
      </c>
      <c r="B1" s="169"/>
      <c r="C1" s="169"/>
      <c r="D1" s="169"/>
      <c r="E1" s="169"/>
      <c r="F1" s="169"/>
      <c r="G1" s="169"/>
      <c r="H1" s="169"/>
    </row>
    <row r="2" spans="1:9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6"/>
      <c r="H2" s="157"/>
    </row>
    <row r="3" spans="1:9" x14ac:dyDescent="0.25">
      <c r="A3" s="158" t="s">
        <v>120</v>
      </c>
      <c r="B3" s="159"/>
      <c r="C3" s="159"/>
      <c r="D3" s="159"/>
      <c r="E3" s="159"/>
      <c r="F3" s="159"/>
      <c r="G3" s="159"/>
      <c r="H3" s="160"/>
    </row>
    <row r="4" spans="1:9" ht="14.25" x14ac:dyDescent="0.45">
      <c r="A4" s="161" t="str">
        <f>PERIODO_INFORME</f>
        <v>Al 31 de diciembre de 2019 y al 30 de septiembre de 2020 (b)</v>
      </c>
      <c r="B4" s="162"/>
      <c r="C4" s="162"/>
      <c r="D4" s="162"/>
      <c r="E4" s="162"/>
      <c r="F4" s="162"/>
      <c r="G4" s="162"/>
      <c r="H4" s="163"/>
    </row>
    <row r="5" spans="1:9" ht="14.25" x14ac:dyDescent="0.45">
      <c r="A5" s="164" t="s">
        <v>118</v>
      </c>
      <c r="B5" s="165"/>
      <c r="C5" s="165"/>
      <c r="D5" s="165"/>
      <c r="E5" s="165"/>
      <c r="F5" s="165"/>
      <c r="G5" s="165"/>
      <c r="H5" s="166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674183820</v>
      </c>
      <c r="C18" s="132"/>
      <c r="D18" s="132"/>
      <c r="E18" s="132"/>
      <c r="F18" s="61">
        <v>677344114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674183820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677344114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8" t="s">
        <v>3300</v>
      </c>
      <c r="B33" s="168"/>
      <c r="C33" s="168"/>
      <c r="D33" s="168"/>
      <c r="E33" s="168"/>
      <c r="F33" s="168"/>
      <c r="G33" s="168"/>
      <c r="H33" s="168"/>
    </row>
    <row r="34" spans="1:8" ht="12" customHeight="1" x14ac:dyDescent="0.25">
      <c r="A34" s="168"/>
      <c r="B34" s="168"/>
      <c r="C34" s="168"/>
      <c r="D34" s="168"/>
      <c r="E34" s="168"/>
      <c r="F34" s="168"/>
      <c r="G34" s="168"/>
      <c r="H34" s="168"/>
    </row>
    <row r="35" spans="1:8" ht="12" customHeight="1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2" customHeight="1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2" customHeight="1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674183820</v>
      </c>
      <c r="Q12" s="18"/>
      <c r="R12" s="18"/>
      <c r="S12" s="18"/>
      <c r="T12" s="18">
        <f>'Formato 2'!F18</f>
        <v>677344114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674183820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677344114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7" t="s">
        <v>543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11"/>
    </row>
    <row r="2" spans="1:12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2" x14ac:dyDescent="0.25">
      <c r="A3" s="158" t="s">
        <v>146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2" ht="14.25" x14ac:dyDescent="0.45">
      <c r="A4" s="161" t="str">
        <f>TRIMESTRE</f>
        <v>Del 1 de enero al 30 de septiembre de 2020 (b)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2" ht="14.25" x14ac:dyDescent="0.45">
      <c r="A5" s="158" t="s">
        <v>118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2020 (k)</v>
      </c>
      <c r="J6" s="131" t="str">
        <f>MONTO2</f>
        <v>Monto pagado de la inversión actualizado al 30 de septiembre de 2020 (l)</v>
      </c>
      <c r="K6" s="131" t="str">
        <f>SALDO_PENDIENTE</f>
        <v>Saldo pendiente por pagar de la inversión al 30 de septiembre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DSTI09</cp:lastModifiedBy>
  <cp:lastPrinted>2017-02-04T00:56:20Z</cp:lastPrinted>
  <dcterms:created xsi:type="dcterms:W3CDTF">2017-01-19T17:59:06Z</dcterms:created>
  <dcterms:modified xsi:type="dcterms:W3CDTF">2020-10-30T17:15:17Z</dcterms:modified>
</cp:coreProperties>
</file>